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 tabRatio="817" activeTab="9"/>
  </bookViews>
  <sheets>
    <sheet name="мун.зад." sheetId="1" r:id="rId1"/>
    <sheet name="проверка 2019" sheetId="4" r:id="rId2"/>
    <sheet name="проверка 2020 " sheetId="12" r:id="rId3"/>
    <sheet name="проверка2021" sheetId="13" r:id="rId4"/>
    <sheet name="прил.1+2" sheetId="5" r:id="rId5"/>
    <sheet name="прил.3" sheetId="6" r:id="rId6"/>
    <sheet name="прил.4" sheetId="7" r:id="rId7"/>
    <sheet name="прил.5" sheetId="9" r:id="rId8"/>
    <sheet name="прил.6" sheetId="10" r:id="rId9"/>
    <sheet name="свод " sheetId="8" r:id="rId10"/>
  </sheets>
  <externalReferences>
    <externalReference r:id="rId11"/>
  </externalReferences>
  <definedNames>
    <definedName name="_xlnm.Print_Titles" localSheetId="9">'свод '!$7:$7</definedName>
    <definedName name="_xlnm.Print_Area" localSheetId="0">мун.зад.!$A$1:$R$253</definedName>
    <definedName name="_xlnm.Print_Area" localSheetId="4">'прил.1+2'!$A$1:$I$105</definedName>
    <definedName name="_xlnm.Print_Area" localSheetId="5">прил.3!$A$1:$G$111</definedName>
    <definedName name="_xlnm.Print_Area" localSheetId="7">прил.5!$A$1:$I$32</definedName>
    <definedName name="_xlnm.Print_Area" localSheetId="8">прил.6!$A$1:$G$38</definedName>
    <definedName name="_xlnm.Print_Area" localSheetId="9">'свод '!$A$1:$K$138</definedName>
  </definedNames>
  <calcPr calcId="125725"/>
</workbook>
</file>

<file path=xl/calcChain.xml><?xml version="1.0" encoding="utf-8"?>
<calcChain xmlns="http://schemas.openxmlformats.org/spreadsheetml/2006/main">
  <c r="B36" i="4"/>
  <c r="L41" s="1"/>
  <c r="H40"/>
  <c r="K132" i="8"/>
  <c r="I132"/>
  <c r="H132"/>
  <c r="F132"/>
  <c r="E73" i="6" l="1"/>
  <c r="E85" i="5"/>
  <c r="E84"/>
  <c r="C34" i="4" s="1"/>
  <c r="G87" i="8"/>
  <c r="G86"/>
  <c r="G72"/>
  <c r="G71"/>
  <c r="G70"/>
  <c r="I70" s="1"/>
  <c r="H68"/>
  <c r="I68"/>
  <c r="J68"/>
  <c r="K68"/>
  <c r="H69"/>
  <c r="I69"/>
  <c r="J69"/>
  <c r="K69"/>
  <c r="J70"/>
  <c r="H71"/>
  <c r="I71"/>
  <c r="J71"/>
  <c r="K71"/>
  <c r="H72"/>
  <c r="I72"/>
  <c r="J72"/>
  <c r="K72"/>
  <c r="G68"/>
  <c r="G69"/>
  <c r="G67"/>
  <c r="G66"/>
  <c r="G65"/>
  <c r="F73"/>
  <c r="E73"/>
  <c r="D73"/>
  <c r="C73"/>
  <c r="H74" i="5"/>
  <c r="G74"/>
  <c r="O42"/>
  <c r="N42"/>
  <c r="N44"/>
  <c r="G78"/>
  <c r="G77"/>
  <c r="H7"/>
  <c r="G7"/>
  <c r="K70" i="8" l="1"/>
  <c r="H70"/>
  <c r="G73"/>
  <c r="C87" l="1"/>
  <c r="A87"/>
  <c r="C86"/>
  <c r="A86"/>
  <c r="A85"/>
  <c r="G14" i="6"/>
  <c r="C52" i="8" s="1"/>
  <c r="C30" i="4" s="1"/>
  <c r="C66" i="8"/>
  <c r="A65"/>
  <c r="C65"/>
  <c r="C59"/>
  <c r="C48"/>
  <c r="A71"/>
  <c r="A70"/>
  <c r="A72"/>
  <c r="C72"/>
  <c r="C71"/>
  <c r="C70"/>
  <c r="C69"/>
  <c r="A69"/>
  <c r="A68"/>
  <c r="A67"/>
  <c r="C67"/>
  <c r="C57"/>
  <c r="G11" i="6"/>
  <c r="G25"/>
  <c r="G12" i="9"/>
  <c r="D8" l="1"/>
  <c r="D7"/>
  <c r="D6"/>
  <c r="D18"/>
  <c r="D17"/>
  <c r="D16"/>
  <c r="G13"/>
  <c r="D12"/>
  <c r="G62" i="6" l="1"/>
  <c r="G66"/>
  <c r="B25" i="4"/>
  <c r="B27"/>
  <c r="B34" i="13"/>
  <c r="B36" l="1"/>
  <c r="B36" i="12"/>
  <c r="R42" i="5" l="1"/>
  <c r="M14"/>
  <c r="M13"/>
  <c r="H78" l="1"/>
  <c r="H77"/>
  <c r="J12" i="4" l="1"/>
  <c r="I12"/>
  <c r="J24"/>
  <c r="I12" i="12"/>
  <c r="L52" i="1" s="1"/>
  <c r="K124" l="1"/>
  <c r="J40" i="4"/>
  <c r="K53" i="1"/>
  <c r="K52"/>
  <c r="J18" i="4"/>
  <c r="I17"/>
  <c r="J17"/>
  <c r="I16"/>
  <c r="J16"/>
  <c r="I15"/>
  <c r="G15" s="1"/>
  <c r="I18"/>
  <c r="J15"/>
  <c r="K24" i="13"/>
  <c r="J24"/>
  <c r="J12"/>
  <c r="M53" i="1" s="1"/>
  <c r="I12" i="13"/>
  <c r="M52" i="1" s="1"/>
  <c r="K24" i="12"/>
  <c r="K40" s="1"/>
  <c r="J24"/>
  <c r="J40" s="1"/>
  <c r="J12"/>
  <c r="L53" i="1" s="1"/>
  <c r="G20" i="9"/>
  <c r="G15"/>
  <c r="G11"/>
  <c r="G6" i="6"/>
  <c r="M124" i="1" l="1"/>
  <c r="J40" i="13"/>
  <c r="M125" i="1"/>
  <c r="K40" i="13"/>
  <c r="L125" i="1"/>
  <c r="H24" i="12"/>
  <c r="H40" s="1"/>
  <c r="J35"/>
  <c r="L124" i="1"/>
  <c r="I15" i="13"/>
  <c r="H24"/>
  <c r="I24"/>
  <c r="I24" i="12"/>
  <c r="I40" s="1"/>
  <c r="K24" i="4"/>
  <c r="M123" i="1" l="1"/>
  <c r="I40" i="13"/>
  <c r="M122" i="1"/>
  <c r="H40" i="13"/>
  <c r="K125" i="1"/>
  <c r="K40" i="4"/>
  <c r="I35" i="12"/>
  <c r="L123" i="1"/>
  <c r="H35" i="12"/>
  <c r="L122" i="1"/>
  <c r="K35" i="12"/>
  <c r="J27" i="4"/>
  <c r="J34"/>
  <c r="J35"/>
  <c r="H24"/>
  <c r="I24"/>
  <c r="H15"/>
  <c r="G19" i="9"/>
  <c r="G18"/>
  <c r="I18" s="1"/>
  <c r="G91" i="6"/>
  <c r="G61"/>
  <c r="G8"/>
  <c r="B10" i="5"/>
  <c r="B9"/>
  <c r="L18"/>
  <c r="L10"/>
  <c r="L11" s="1"/>
  <c r="D25" i="8"/>
  <c r="E25"/>
  <c r="F25"/>
  <c r="K123" i="1" l="1"/>
  <c r="I40" i="4"/>
  <c r="I25"/>
  <c r="H32"/>
  <c r="H28"/>
  <c r="H35"/>
  <c r="H31"/>
  <c r="H27"/>
  <c r="H33"/>
  <c r="H29"/>
  <c r="H25"/>
  <c r="H34"/>
  <c r="H30"/>
  <c r="H26"/>
  <c r="K27"/>
  <c r="K122" i="1"/>
  <c r="I27" i="4"/>
  <c r="K35"/>
  <c r="K34"/>
  <c r="I34"/>
  <c r="I35"/>
  <c r="B24"/>
  <c r="B14"/>
  <c r="E67" i="5"/>
  <c r="E66"/>
  <c r="C22"/>
  <c r="C21"/>
  <c r="E37"/>
  <c r="L40" i="4" l="1"/>
  <c r="H36"/>
  <c r="C67" i="5"/>
  <c r="C20" i="4"/>
  <c r="D20" s="1"/>
  <c r="C84" i="5"/>
  <c r="D34" i="4"/>
  <c r="C66" i="5"/>
  <c r="C19" i="4"/>
  <c r="D19" s="1"/>
  <c r="C85" i="5"/>
  <c r="C35" i="4"/>
  <c r="D35" s="1"/>
  <c r="C24" i="8"/>
  <c r="C13" s="1"/>
  <c r="G24"/>
  <c r="G13" s="1"/>
  <c r="D24" i="13"/>
  <c r="C24"/>
  <c r="B24"/>
  <c r="D14"/>
  <c r="C14"/>
  <c r="B14"/>
  <c r="D24" i="12"/>
  <c r="C24"/>
  <c r="B24"/>
  <c r="D14"/>
  <c r="C14"/>
  <c r="B14"/>
  <c r="D13" l="1"/>
  <c r="C13" i="13"/>
  <c r="C13" i="12"/>
  <c r="B13"/>
  <c r="B13" i="13"/>
  <c r="D13"/>
  <c r="I18"/>
  <c r="I18" i="12"/>
  <c r="J34"/>
  <c r="J15" i="13"/>
  <c r="J16"/>
  <c r="J17"/>
  <c r="J18"/>
  <c r="J25"/>
  <c r="J26"/>
  <c r="J27"/>
  <c r="J28"/>
  <c r="J29"/>
  <c r="J30"/>
  <c r="J31"/>
  <c r="J32"/>
  <c r="I16"/>
  <c r="I17"/>
  <c r="K25"/>
  <c r="K27"/>
  <c r="K29"/>
  <c r="K31"/>
  <c r="I27" i="12"/>
  <c r="K34"/>
  <c r="J15"/>
  <c r="J16"/>
  <c r="J17"/>
  <c r="J18"/>
  <c r="J26"/>
  <c r="J28"/>
  <c r="J30"/>
  <c r="J32"/>
  <c r="I15"/>
  <c r="I16"/>
  <c r="I17"/>
  <c r="K25"/>
  <c r="K29"/>
  <c r="H34" i="13" l="1"/>
  <c r="K31" i="12"/>
  <c r="K27"/>
  <c r="J31"/>
  <c r="J29"/>
  <c r="J27"/>
  <c r="J25"/>
  <c r="I25"/>
  <c r="I31"/>
  <c r="I29"/>
  <c r="I34"/>
  <c r="I30" i="13"/>
  <c r="I34"/>
  <c r="K32" i="12"/>
  <c r="K30"/>
  <c r="K28"/>
  <c r="K26"/>
  <c r="H32"/>
  <c r="H31"/>
  <c r="H30"/>
  <c r="H29"/>
  <c r="H28"/>
  <c r="H27"/>
  <c r="H26"/>
  <c r="H25"/>
  <c r="H34"/>
  <c r="I26"/>
  <c r="I28"/>
  <c r="I30"/>
  <c r="I32"/>
  <c r="K32" i="13"/>
  <c r="K30"/>
  <c r="K28"/>
  <c r="K26"/>
  <c r="H32"/>
  <c r="H31"/>
  <c r="H30"/>
  <c r="H29"/>
  <c r="H28"/>
  <c r="H27"/>
  <c r="H26"/>
  <c r="H25"/>
  <c r="I26"/>
  <c r="J34"/>
  <c r="J36" s="1"/>
  <c r="K34"/>
  <c r="I25"/>
  <c r="I28"/>
  <c r="I32"/>
  <c r="I27"/>
  <c r="I29"/>
  <c r="I31"/>
  <c r="I19"/>
  <c r="J19"/>
  <c r="I19" i="12"/>
  <c r="J19"/>
  <c r="L40" i="13" l="1"/>
  <c r="L41" s="1"/>
  <c r="L40" i="12"/>
  <c r="L41" s="1"/>
  <c r="K36"/>
  <c r="I36"/>
  <c r="I36" i="13"/>
  <c r="H36"/>
  <c r="J36" i="12"/>
  <c r="H36"/>
  <c r="K36" i="13"/>
  <c r="G14" i="9"/>
  <c r="G10"/>
  <c r="G21" l="1"/>
  <c r="G7"/>
  <c r="I7" s="1"/>
  <c r="O48" i="5" l="1"/>
  <c r="M48"/>
  <c r="B76" s="1"/>
  <c r="Q47"/>
  <c r="P47"/>
  <c r="L47"/>
  <c r="L48" s="1"/>
  <c r="N46"/>
  <c r="N48" s="1"/>
  <c r="Q48" l="1"/>
  <c r="D76" s="1"/>
  <c r="P48"/>
  <c r="C76" s="1"/>
  <c r="G76" s="1"/>
  <c r="H76" s="1"/>
  <c r="A94" i="8"/>
  <c r="G104" i="6"/>
  <c r="C94" i="8" s="1"/>
  <c r="G94" l="1"/>
  <c r="E25" i="10"/>
  <c r="E26"/>
  <c r="E27"/>
  <c r="D25"/>
  <c r="D26"/>
  <c r="D27"/>
  <c r="B25"/>
  <c r="B26"/>
  <c r="B27"/>
  <c r="I20" i="9"/>
  <c r="I21" l="1"/>
  <c r="G17"/>
  <c r="G98" i="6"/>
  <c r="G27" i="10" l="1"/>
  <c r="G62" i="8"/>
  <c r="C62"/>
  <c r="I15" i="9"/>
  <c r="I14"/>
  <c r="I13"/>
  <c r="I17"/>
  <c r="G21" i="10" s="1"/>
  <c r="O44" i="5"/>
  <c r="M44"/>
  <c r="B75" s="1"/>
  <c r="Q43"/>
  <c r="P43"/>
  <c r="L43"/>
  <c r="R13"/>
  <c r="O13" s="1"/>
  <c r="O14"/>
  <c r="N14"/>
  <c r="L14" l="1"/>
  <c r="Q44"/>
  <c r="D75" s="1"/>
  <c r="L44"/>
  <c r="P44"/>
  <c r="C75" s="1"/>
  <c r="I11" i="9"/>
  <c r="G64" i="6"/>
  <c r="G63"/>
  <c r="G60"/>
  <c r="G59"/>
  <c r="G65" l="1"/>
  <c r="G19" l="1"/>
  <c r="G47"/>
  <c r="G61" i="8" s="1"/>
  <c r="C61" l="1"/>
  <c r="G38" i="6"/>
  <c r="G37"/>
  <c r="G36"/>
  <c r="G27"/>
  <c r="G26"/>
  <c r="G24"/>
  <c r="G23"/>
  <c r="G60" i="8" s="1"/>
  <c r="G22" i="6"/>
  <c r="G59" i="8" s="1"/>
  <c r="G21" i="6"/>
  <c r="G58" i="8" s="1"/>
  <c r="G20" i="6"/>
  <c r="G57" i="8" s="1"/>
  <c r="G18" i="6"/>
  <c r="G17"/>
  <c r="G15"/>
  <c r="G13"/>
  <c r="G12"/>
  <c r="G10"/>
  <c r="G9"/>
  <c r="G7"/>
  <c r="G63" i="8" l="1"/>
  <c r="C63"/>
  <c r="G16" i="4" l="1"/>
  <c r="H16" s="1"/>
  <c r="G18"/>
  <c r="H18" s="1"/>
  <c r="G16" i="9"/>
  <c r="G96" i="6"/>
  <c r="B8" i="5"/>
  <c r="O40"/>
  <c r="O19"/>
  <c r="M19"/>
  <c r="L19"/>
  <c r="Q18"/>
  <c r="P18"/>
  <c r="N17"/>
  <c r="N19" s="1"/>
  <c r="O15"/>
  <c r="M15"/>
  <c r="B58" s="1"/>
  <c r="L15"/>
  <c r="Q14"/>
  <c r="P14"/>
  <c r="N13"/>
  <c r="N15" s="1"/>
  <c r="Q19" l="1"/>
  <c r="G17" i="4"/>
  <c r="H17" s="1"/>
  <c r="I19"/>
  <c r="P19" i="5"/>
  <c r="Q15"/>
  <c r="G26" i="10"/>
  <c r="B59" i="5"/>
  <c r="P15"/>
  <c r="F16"/>
  <c r="D16" s="1"/>
  <c r="G93" i="6" l="1"/>
  <c r="D24" i="10"/>
  <c r="E24"/>
  <c r="E23"/>
  <c r="D23"/>
  <c r="D21"/>
  <c r="E21"/>
  <c r="D22"/>
  <c r="E22"/>
  <c r="E20"/>
  <c r="D20"/>
  <c r="B24"/>
  <c r="B23"/>
  <c r="D120" i="8"/>
  <c r="D112"/>
  <c r="D108"/>
  <c r="D105"/>
  <c r="D99"/>
  <c r="I16" i="9"/>
  <c r="I12"/>
  <c r="C116" i="8" s="1"/>
  <c r="G20" i="10" l="1"/>
  <c r="G24"/>
  <c r="G25" l="1"/>
  <c r="A64" i="8"/>
  <c r="I19" i="9" l="1"/>
  <c r="D95" i="8"/>
  <c r="D79"/>
  <c r="D41"/>
  <c r="G40" i="6"/>
  <c r="G41"/>
  <c r="A53" i="8"/>
  <c r="C49"/>
  <c r="Q10" i="5"/>
  <c r="D7" s="1"/>
  <c r="P10"/>
  <c r="C7" s="1"/>
  <c r="O11"/>
  <c r="N9"/>
  <c r="N11" s="1"/>
  <c r="M11"/>
  <c r="B57" s="1"/>
  <c r="C53" i="8"/>
  <c r="B7" i="5"/>
  <c r="C58" i="8"/>
  <c r="C44"/>
  <c r="H29" i="5"/>
  <c r="D2" i="8"/>
  <c r="D31"/>
  <c r="E31"/>
  <c r="F31"/>
  <c r="G11"/>
  <c r="G12"/>
  <c r="D131"/>
  <c r="F131"/>
  <c r="F120"/>
  <c r="F112"/>
  <c r="G112"/>
  <c r="F108"/>
  <c r="F105"/>
  <c r="F99"/>
  <c r="F95"/>
  <c r="F79"/>
  <c r="F41"/>
  <c r="G36"/>
  <c r="G20"/>
  <c r="J5"/>
  <c r="J24" s="1"/>
  <c r="J13" s="1"/>
  <c r="K5"/>
  <c r="K92" s="1"/>
  <c r="F5"/>
  <c r="E5"/>
  <c r="D5"/>
  <c r="E131"/>
  <c r="E120"/>
  <c r="E112"/>
  <c r="E108"/>
  <c r="E105"/>
  <c r="E99"/>
  <c r="E95"/>
  <c r="E79"/>
  <c r="E41"/>
  <c r="A84"/>
  <c r="A83"/>
  <c r="A82"/>
  <c r="A81"/>
  <c r="A45"/>
  <c r="A46"/>
  <c r="A47"/>
  <c r="A48"/>
  <c r="A49"/>
  <c r="A50"/>
  <c r="A51"/>
  <c r="A52"/>
  <c r="A54"/>
  <c r="A55"/>
  <c r="A56"/>
  <c r="A57"/>
  <c r="A58"/>
  <c r="A59"/>
  <c r="A60"/>
  <c r="A44"/>
  <c r="M40" i="5"/>
  <c r="B74" s="1"/>
  <c r="Q39"/>
  <c r="P39"/>
  <c r="L39"/>
  <c r="L40" s="1"/>
  <c r="N38"/>
  <c r="N40" s="1"/>
  <c r="Q40" s="1"/>
  <c r="D74" s="1"/>
  <c r="O23"/>
  <c r="M23"/>
  <c r="B60" s="1"/>
  <c r="Q22"/>
  <c r="D10" s="1"/>
  <c r="P22"/>
  <c r="C10" s="1"/>
  <c r="L22"/>
  <c r="L23" s="1"/>
  <c r="N21"/>
  <c r="N23" s="1"/>
  <c r="D9"/>
  <c r="C9"/>
  <c r="D59"/>
  <c r="D8"/>
  <c r="C8"/>
  <c r="D58"/>
  <c r="E8" i="10"/>
  <c r="G124" i="8" s="1"/>
  <c r="E6" i="10"/>
  <c r="C123" i="8" s="1"/>
  <c r="G8" i="9"/>
  <c r="I8" s="1"/>
  <c r="G9"/>
  <c r="I9" s="1"/>
  <c r="I10"/>
  <c r="G6"/>
  <c r="I6" s="1"/>
  <c r="G103" i="6"/>
  <c r="G102"/>
  <c r="G101"/>
  <c r="C92" i="8" s="1"/>
  <c r="G100" i="6"/>
  <c r="C91" i="8" s="1"/>
  <c r="G99" i="6"/>
  <c r="C90" i="8" s="1"/>
  <c r="G97" i="6"/>
  <c r="G88" i="8" s="1"/>
  <c r="J88" s="1"/>
  <c r="G95" i="6"/>
  <c r="G94"/>
  <c r="C84" i="8" s="1"/>
  <c r="G83"/>
  <c r="G90" i="6"/>
  <c r="G89"/>
  <c r="G88"/>
  <c r="H31" i="5"/>
  <c r="H30"/>
  <c r="F15"/>
  <c r="D15"/>
  <c r="D19" i="8"/>
  <c r="D12" s="1"/>
  <c r="E12" i="10"/>
  <c r="G127" i="8" s="1"/>
  <c r="E11" i="10"/>
  <c r="G126" i="8" s="1"/>
  <c r="E10" i="10"/>
  <c r="G125" i="8" s="1"/>
  <c r="A119"/>
  <c r="A19"/>
  <c r="F31" i="7"/>
  <c r="F30"/>
  <c r="C111" i="8"/>
  <c r="F29" i="7"/>
  <c r="C110" i="8" s="1"/>
  <c r="F23" i="7"/>
  <c r="F22"/>
  <c r="G107" i="8" s="1"/>
  <c r="F14" i="7"/>
  <c r="G103" i="8" s="1"/>
  <c r="F13" i="7"/>
  <c r="G102" i="8" s="1"/>
  <c r="K102" s="1"/>
  <c r="F12" i="7"/>
  <c r="G101" i="8" s="1"/>
  <c r="F7" i="7"/>
  <c r="G98" i="8" s="1"/>
  <c r="F6" i="7"/>
  <c r="G97" i="8" s="1"/>
  <c r="E80" i="6"/>
  <c r="E79"/>
  <c r="E78"/>
  <c r="E77"/>
  <c r="E76"/>
  <c r="E75"/>
  <c r="E74"/>
  <c r="G51"/>
  <c r="G50"/>
  <c r="G49"/>
  <c r="G48"/>
  <c r="G46"/>
  <c r="G45"/>
  <c r="G44"/>
  <c r="G43"/>
  <c r="G42"/>
  <c r="C56" i="8"/>
  <c r="C55"/>
  <c r="G52"/>
  <c r="C51"/>
  <c r="G50"/>
  <c r="G49"/>
  <c r="G48"/>
  <c r="C45"/>
  <c r="G44"/>
  <c r="E90" i="5"/>
  <c r="C40" i="8" s="1"/>
  <c r="C31" s="1"/>
  <c r="C26" i="4" s="1"/>
  <c r="D26" s="1"/>
  <c r="G32" i="5"/>
  <c r="H32"/>
  <c r="G23" i="8" s="1"/>
  <c r="G10" s="1"/>
  <c r="C19"/>
  <c r="C12" s="1"/>
  <c r="I29" i="4"/>
  <c r="D140" i="8"/>
  <c r="J32" i="4"/>
  <c r="J33"/>
  <c r="K31"/>
  <c r="K18" i="8"/>
  <c r="K11" s="1"/>
  <c r="J104"/>
  <c r="J90"/>
  <c r="J34"/>
  <c r="G55"/>
  <c r="J23"/>
  <c r="J89"/>
  <c r="J93"/>
  <c r="J101"/>
  <c r="J125"/>
  <c r="K93"/>
  <c r="J19"/>
  <c r="J12" s="1"/>
  <c r="G8" i="5" l="1"/>
  <c r="H8" s="1"/>
  <c r="F15" i="7"/>
  <c r="K87" i="8"/>
  <c r="C23"/>
  <c r="K34"/>
  <c r="K98"/>
  <c r="K125"/>
  <c r="K90"/>
  <c r="K104"/>
  <c r="K110"/>
  <c r="G123"/>
  <c r="J18"/>
  <c r="J11" s="1"/>
  <c r="J110"/>
  <c r="J98"/>
  <c r="J91"/>
  <c r="J17"/>
  <c r="J10" s="1"/>
  <c r="J35"/>
  <c r="J36" s="1"/>
  <c r="J92"/>
  <c r="J111"/>
  <c r="J16"/>
  <c r="J20" s="1"/>
  <c r="J103"/>
  <c r="G10" i="5"/>
  <c r="H10" s="1"/>
  <c r="G40" i="8"/>
  <c r="G84"/>
  <c r="K23"/>
  <c r="Q23" i="5"/>
  <c r="D60" s="1"/>
  <c r="P23"/>
  <c r="C60" s="1"/>
  <c r="G9"/>
  <c r="H9" s="1"/>
  <c r="E19" i="8"/>
  <c r="E12" s="1"/>
  <c r="G118"/>
  <c r="C118"/>
  <c r="G140"/>
  <c r="B13" i="4"/>
  <c r="C140" i="8" s="1"/>
  <c r="G23" i="10"/>
  <c r="J25" i="4"/>
  <c r="I32"/>
  <c r="G75" i="5"/>
  <c r="K35" i="8"/>
  <c r="K48"/>
  <c r="K50"/>
  <c r="K52"/>
  <c r="K49"/>
  <c r="K57"/>
  <c r="K59"/>
  <c r="K58"/>
  <c r="K60"/>
  <c r="J58"/>
  <c r="J60"/>
  <c r="J57"/>
  <c r="J59"/>
  <c r="G35" i="6"/>
  <c r="G87"/>
  <c r="G82" i="8" s="1"/>
  <c r="P40" i="5"/>
  <c r="K17" i="8"/>
  <c r="K97"/>
  <c r="K126"/>
  <c r="K89"/>
  <c r="K16"/>
  <c r="K19"/>
  <c r="K12" s="1"/>
  <c r="K91"/>
  <c r="K111"/>
  <c r="G51"/>
  <c r="G75"/>
  <c r="G79" s="1"/>
  <c r="C112"/>
  <c r="C15" i="5"/>
  <c r="Q11"/>
  <c r="D57" s="1"/>
  <c r="P11"/>
  <c r="C57" s="1"/>
  <c r="C97" i="8"/>
  <c r="C98"/>
  <c r="C101"/>
  <c r="C102"/>
  <c r="C103"/>
  <c r="C59" i="5"/>
  <c r="G59" s="1"/>
  <c r="H59" s="1"/>
  <c r="D18" i="8"/>
  <c r="D11" s="1"/>
  <c r="C58" i="5"/>
  <c r="C114" i="8"/>
  <c r="G114"/>
  <c r="G115"/>
  <c r="C115"/>
  <c r="G116"/>
  <c r="C85"/>
  <c r="G85"/>
  <c r="C64"/>
  <c r="G64"/>
  <c r="E81" i="6"/>
  <c r="C81" i="8" s="1"/>
  <c r="J48"/>
  <c r="J49"/>
  <c r="J50"/>
  <c r="J52"/>
  <c r="C127"/>
  <c r="C125"/>
  <c r="C75"/>
  <c r="C28" i="4" s="1"/>
  <c r="D28" s="1"/>
  <c r="K130" i="8"/>
  <c r="J130"/>
  <c r="J102"/>
  <c r="J126"/>
  <c r="C17" i="4"/>
  <c r="D17" s="1"/>
  <c r="K119" i="8"/>
  <c r="J119"/>
  <c r="J87"/>
  <c r="C88"/>
  <c r="C68"/>
  <c r="K88"/>
  <c r="G56"/>
  <c r="C50"/>
  <c r="G31"/>
  <c r="K32" i="4"/>
  <c r="H5" i="8"/>
  <c r="J30" i="4"/>
  <c r="J26"/>
  <c r="J31"/>
  <c r="K33"/>
  <c r="K30"/>
  <c r="K28"/>
  <c r="K26"/>
  <c r="C46" i="8"/>
  <c r="G46"/>
  <c r="G108"/>
  <c r="J107"/>
  <c r="J108" s="1"/>
  <c r="K107"/>
  <c r="K108" s="1"/>
  <c r="K103"/>
  <c r="K25" i="4"/>
  <c r="K29"/>
  <c r="J29"/>
  <c r="J28"/>
  <c r="E18" i="8"/>
  <c r="E11" s="1"/>
  <c r="I33" i="4"/>
  <c r="I26"/>
  <c r="G45" i="8"/>
  <c r="I5"/>
  <c r="I24" s="1"/>
  <c r="I13" s="1"/>
  <c r="I28" i="4"/>
  <c r="I31"/>
  <c r="I30"/>
  <c r="G22" i="8"/>
  <c r="G25" s="1"/>
  <c r="C22"/>
  <c r="C25" s="1"/>
  <c r="C47"/>
  <c r="G47"/>
  <c r="C54"/>
  <c r="G54"/>
  <c r="C60"/>
  <c r="G99"/>
  <c r="J97"/>
  <c r="G105"/>
  <c r="K101"/>
  <c r="K127"/>
  <c r="J127"/>
  <c r="C83"/>
  <c r="C124"/>
  <c r="C18"/>
  <c r="C11" s="1"/>
  <c r="C18" i="4" s="1"/>
  <c r="C107" i="8"/>
  <c r="C108" s="1"/>
  <c r="C126"/>
  <c r="G53"/>
  <c r="F19"/>
  <c r="F12" s="1"/>
  <c r="C82" l="1"/>
  <c r="C95" s="1"/>
  <c r="G60" i="5"/>
  <c r="H60" s="1"/>
  <c r="J112" i="8"/>
  <c r="K36"/>
  <c r="J36" i="4"/>
  <c r="K36"/>
  <c r="K140" i="8" s="1"/>
  <c r="I36" i="4"/>
  <c r="K99" i="8"/>
  <c r="H75" i="5"/>
  <c r="J99" i="8"/>
  <c r="K112"/>
  <c r="J105"/>
  <c r="G57" i="5"/>
  <c r="K24" i="8"/>
  <c r="K13" s="1"/>
  <c r="H11" i="5"/>
  <c r="G11"/>
  <c r="M15" i="4" s="1"/>
  <c r="K10" i="8"/>
  <c r="K20"/>
  <c r="H24"/>
  <c r="H13" s="1"/>
  <c r="H23"/>
  <c r="J94"/>
  <c r="I85"/>
  <c r="I63"/>
  <c r="I94"/>
  <c r="I62"/>
  <c r="C129"/>
  <c r="G129"/>
  <c r="K129" s="1"/>
  <c r="K94"/>
  <c r="J63"/>
  <c r="H86"/>
  <c r="H88"/>
  <c r="H90"/>
  <c r="H92"/>
  <c r="H94"/>
  <c r="H62"/>
  <c r="H61"/>
  <c r="H65"/>
  <c r="H87"/>
  <c r="H89"/>
  <c r="H91"/>
  <c r="H93"/>
  <c r="H63"/>
  <c r="H64"/>
  <c r="K85"/>
  <c r="K62"/>
  <c r="K63"/>
  <c r="J62"/>
  <c r="H85"/>
  <c r="J85"/>
  <c r="H58"/>
  <c r="H60"/>
  <c r="H46"/>
  <c r="H48"/>
  <c r="H50"/>
  <c r="H52"/>
  <c r="H54"/>
  <c r="H56"/>
  <c r="H57"/>
  <c r="H59"/>
  <c r="H45"/>
  <c r="H47"/>
  <c r="H49"/>
  <c r="H51"/>
  <c r="H53"/>
  <c r="H55"/>
  <c r="I45"/>
  <c r="I47"/>
  <c r="I49"/>
  <c r="I51"/>
  <c r="I53"/>
  <c r="I55"/>
  <c r="I57"/>
  <c r="I59"/>
  <c r="I61"/>
  <c r="I46"/>
  <c r="I48"/>
  <c r="I50"/>
  <c r="I52"/>
  <c r="I54"/>
  <c r="I56"/>
  <c r="I58"/>
  <c r="I60"/>
  <c r="H116"/>
  <c r="K54"/>
  <c r="K65"/>
  <c r="G58" i="5"/>
  <c r="H58" s="1"/>
  <c r="G22" i="10"/>
  <c r="G128" i="8" s="1"/>
  <c r="K47"/>
  <c r="K53"/>
  <c r="K46"/>
  <c r="K61"/>
  <c r="K51"/>
  <c r="J61"/>
  <c r="C74" i="5"/>
  <c r="G79" s="1"/>
  <c r="D18" i="4"/>
  <c r="C79" i="8"/>
  <c r="C33" i="4"/>
  <c r="D33" s="1"/>
  <c r="G81" i="8"/>
  <c r="G95" s="1"/>
  <c r="C99"/>
  <c r="C105"/>
  <c r="C117"/>
  <c r="C120" s="1"/>
  <c r="G117"/>
  <c r="G120" s="1"/>
  <c r="K45"/>
  <c r="J129"/>
  <c r="K66"/>
  <c r="K56"/>
  <c r="I64"/>
  <c r="I65"/>
  <c r="I66"/>
  <c r="I82"/>
  <c r="I84"/>
  <c r="I86"/>
  <c r="I83"/>
  <c r="J84"/>
  <c r="J65"/>
  <c r="J56"/>
  <c r="J54"/>
  <c r="J53"/>
  <c r="J51"/>
  <c r="J47"/>
  <c r="J45"/>
  <c r="J83"/>
  <c r="K83"/>
  <c r="K84"/>
  <c r="H83"/>
  <c r="H66"/>
  <c r="H82"/>
  <c r="H84"/>
  <c r="J86"/>
  <c r="J82"/>
  <c r="J66"/>
  <c r="J64"/>
  <c r="J55"/>
  <c r="J46"/>
  <c r="K86"/>
  <c r="K82"/>
  <c r="K64"/>
  <c r="K55"/>
  <c r="K75"/>
  <c r="K79" s="1"/>
  <c r="K105"/>
  <c r="K118"/>
  <c r="J118"/>
  <c r="K22"/>
  <c r="G9"/>
  <c r="G14" s="1"/>
  <c r="J22"/>
  <c r="J25" s="1"/>
  <c r="J81"/>
  <c r="H19"/>
  <c r="H12" s="1"/>
  <c r="H97"/>
  <c r="H103"/>
  <c r="H111"/>
  <c r="H18"/>
  <c r="H11" s="1"/>
  <c r="H124"/>
  <c r="H44"/>
  <c r="J116"/>
  <c r="H40"/>
  <c r="H31" s="1"/>
  <c r="H75"/>
  <c r="H79" s="1"/>
  <c r="H119"/>
  <c r="H123"/>
  <c r="H22"/>
  <c r="H17"/>
  <c r="G5"/>
  <c r="H125"/>
  <c r="H102"/>
  <c r="H107"/>
  <c r="H108" s="1"/>
  <c r="K116"/>
  <c r="H104"/>
  <c r="H35"/>
  <c r="H101"/>
  <c r="H110"/>
  <c r="H130"/>
  <c r="H16"/>
  <c r="J44"/>
  <c r="H81"/>
  <c r="H118"/>
  <c r="K44"/>
  <c r="J117"/>
  <c r="H127"/>
  <c r="H98"/>
  <c r="H126"/>
  <c r="H114"/>
  <c r="K123"/>
  <c r="H34"/>
  <c r="I115"/>
  <c r="K124"/>
  <c r="K115"/>
  <c r="H115"/>
  <c r="K40"/>
  <c r="K31" s="1"/>
  <c r="J114"/>
  <c r="I35"/>
  <c r="I17"/>
  <c r="I97"/>
  <c r="I125"/>
  <c r="I126"/>
  <c r="I98"/>
  <c r="I34"/>
  <c r="I81"/>
  <c r="I44"/>
  <c r="I119"/>
  <c r="I118"/>
  <c r="I116"/>
  <c r="I75"/>
  <c r="I79" s="1"/>
  <c r="I123"/>
  <c r="I23"/>
  <c r="I18"/>
  <c r="I11" s="1"/>
  <c r="I19"/>
  <c r="I12" s="1"/>
  <c r="I89"/>
  <c r="I104"/>
  <c r="I127"/>
  <c r="I103"/>
  <c r="I91"/>
  <c r="I40"/>
  <c r="I31" s="1"/>
  <c r="I101"/>
  <c r="I90"/>
  <c r="I102"/>
  <c r="I22"/>
  <c r="I114"/>
  <c r="I130"/>
  <c r="I88"/>
  <c r="I87"/>
  <c r="I124"/>
  <c r="I93"/>
  <c r="I107"/>
  <c r="I108" s="1"/>
  <c r="I92"/>
  <c r="I16"/>
  <c r="I111"/>
  <c r="I110"/>
  <c r="F18"/>
  <c r="F11" s="1"/>
  <c r="J115"/>
  <c r="J123"/>
  <c r="J75"/>
  <c r="J79" s="1"/>
  <c r="J40"/>
  <c r="J31" s="1"/>
  <c r="K114"/>
  <c r="J124"/>
  <c r="K81" l="1"/>
  <c r="K73"/>
  <c r="C31" i="4"/>
  <c r="D31" s="1"/>
  <c r="I129" i="8"/>
  <c r="K25"/>
  <c r="H117"/>
  <c r="H120" s="1"/>
  <c r="H57" i="5"/>
  <c r="H61" s="1"/>
  <c r="G61"/>
  <c r="D34" i="8" s="1"/>
  <c r="C17"/>
  <c r="C10" s="1"/>
  <c r="D17"/>
  <c r="H129"/>
  <c r="C128"/>
  <c r="C131" s="1"/>
  <c r="C32" i="4" s="1"/>
  <c r="D32" s="1"/>
  <c r="H95" i="8"/>
  <c r="H9"/>
  <c r="H10"/>
  <c r="J95"/>
  <c r="I25"/>
  <c r="H25"/>
  <c r="K95"/>
  <c r="H140"/>
  <c r="I95"/>
  <c r="G131"/>
  <c r="H128"/>
  <c r="H131" s="1"/>
  <c r="K117"/>
  <c r="K120" s="1"/>
  <c r="I128"/>
  <c r="J128"/>
  <c r="J131" s="1"/>
  <c r="G38"/>
  <c r="I117"/>
  <c r="I120" s="1"/>
  <c r="O15" i="4"/>
  <c r="P15" s="1"/>
  <c r="K128" i="8"/>
  <c r="K131" s="1"/>
  <c r="C16"/>
  <c r="C9" s="1"/>
  <c r="J140"/>
  <c r="I140"/>
  <c r="K67"/>
  <c r="J67"/>
  <c r="J73" s="1"/>
  <c r="H67"/>
  <c r="H73" s="1"/>
  <c r="I67"/>
  <c r="I73" s="1"/>
  <c r="H99"/>
  <c r="H112"/>
  <c r="I112"/>
  <c r="I105"/>
  <c r="I20"/>
  <c r="I9"/>
  <c r="H20"/>
  <c r="I36"/>
  <c r="H36"/>
  <c r="J9"/>
  <c r="J14" s="1"/>
  <c r="D16"/>
  <c r="D9" s="1"/>
  <c r="I10"/>
  <c r="I99"/>
  <c r="H105"/>
  <c r="K9"/>
  <c r="K14" s="1"/>
  <c r="J120"/>
  <c r="I131" l="1"/>
  <c r="C29" i="4"/>
  <c r="D29" s="1"/>
  <c r="H79" i="5"/>
  <c r="G39" i="8" s="1"/>
  <c r="C34"/>
  <c r="C35"/>
  <c r="D35"/>
  <c r="D30" s="1"/>
  <c r="C14"/>
  <c r="H14"/>
  <c r="I14"/>
  <c r="C38"/>
  <c r="C25" i="4" s="1"/>
  <c r="M16"/>
  <c r="N15"/>
  <c r="E34" i="8" s="1"/>
  <c r="E140"/>
  <c r="D29"/>
  <c r="J39"/>
  <c r="J30" s="1"/>
  <c r="D30" i="4"/>
  <c r="D20" i="8"/>
  <c r="D10"/>
  <c r="D14" s="1"/>
  <c r="J38"/>
  <c r="K38"/>
  <c r="G29"/>
  <c r="H38"/>
  <c r="I38"/>
  <c r="C20"/>
  <c r="J19" i="4"/>
  <c r="F16" i="8"/>
  <c r="O16" i="4"/>
  <c r="E16" i="8"/>
  <c r="E9" s="1"/>
  <c r="F34"/>
  <c r="K39" l="1"/>
  <c r="K30" s="1"/>
  <c r="H39"/>
  <c r="H30" s="1"/>
  <c r="G30"/>
  <c r="G32" s="1"/>
  <c r="G121" s="1"/>
  <c r="G132" s="1"/>
  <c r="I39"/>
  <c r="I30" s="1"/>
  <c r="G41"/>
  <c r="C39"/>
  <c r="C27" i="4" s="1"/>
  <c r="D27" s="1"/>
  <c r="C36" i="8"/>
  <c r="C16" i="4"/>
  <c r="D16" s="1"/>
  <c r="D36" i="8"/>
  <c r="F17"/>
  <c r="F10" s="1"/>
  <c r="P16" i="4"/>
  <c r="F35" i="8" s="1"/>
  <c r="F30" s="1"/>
  <c r="D32"/>
  <c r="D121" s="1"/>
  <c r="D132" s="1"/>
  <c r="D141" s="1"/>
  <c r="C29"/>
  <c r="F140"/>
  <c r="F29"/>
  <c r="E29"/>
  <c r="E17"/>
  <c r="E10" s="1"/>
  <c r="N16" i="4"/>
  <c r="E35" i="8" s="1"/>
  <c r="E30" s="1"/>
  <c r="F9"/>
  <c r="D25" i="4"/>
  <c r="C15"/>
  <c r="H29" i="8"/>
  <c r="K29"/>
  <c r="I29"/>
  <c r="J29"/>
  <c r="J32" s="1"/>
  <c r="J121" s="1"/>
  <c r="J132" s="1"/>
  <c r="J41"/>
  <c r="K41" l="1"/>
  <c r="K32"/>
  <c r="K121" s="1"/>
  <c r="K141" s="1"/>
  <c r="I41"/>
  <c r="I32"/>
  <c r="I121" s="1"/>
  <c r="I141" s="1"/>
  <c r="D24" i="4"/>
  <c r="C14"/>
  <c r="H32" i="8"/>
  <c r="H121" s="1"/>
  <c r="H141" s="1"/>
  <c r="H41"/>
  <c r="C30"/>
  <c r="C32" s="1"/>
  <c r="C121" s="1"/>
  <c r="C24" i="4"/>
  <c r="C41" i="8"/>
  <c r="F14"/>
  <c r="E14"/>
  <c r="F20"/>
  <c r="G141"/>
  <c r="F36"/>
  <c r="F32"/>
  <c r="F121" s="1"/>
  <c r="J141"/>
  <c r="E32"/>
  <c r="E121" s="1"/>
  <c r="D15" i="4"/>
  <c r="D14" s="1"/>
  <c r="E20" i="8"/>
  <c r="E36"/>
  <c r="C132" l="1"/>
  <c r="C141" s="1"/>
  <c r="D13" i="4"/>
  <c r="C13"/>
  <c r="E132" i="8"/>
  <c r="E141" s="1"/>
  <c r="F141"/>
</calcChain>
</file>

<file path=xl/sharedStrings.xml><?xml version="1.0" encoding="utf-8"?>
<sst xmlns="http://schemas.openxmlformats.org/spreadsheetml/2006/main" count="986" uniqueCount="395">
  <si>
    <t>Наименование муниципального учреждения (обособленного подразделения)</t>
  </si>
  <si>
    <t>Виды деятельности муниципального учреждения (обособленного подразделения)</t>
  </si>
  <si>
    <t>Вид муниципального учреждения</t>
  </si>
  <si>
    <t>по ОКВЭД</t>
  </si>
  <si>
    <t>Форма по ОКУД</t>
  </si>
  <si>
    <t>0506001</t>
  </si>
  <si>
    <t>Коды</t>
  </si>
  <si>
    <t>УТВЕРЖДАЮ</t>
  </si>
  <si>
    <r>
      <t xml:space="preserve">Раздел </t>
    </r>
    <r>
      <rPr>
        <u/>
        <sz val="11"/>
        <color indexed="8"/>
        <rFont val="Times New Roman"/>
        <family val="1"/>
        <charset val="204"/>
      </rPr>
      <t xml:space="preserve">           .</t>
    </r>
  </si>
  <si>
    <t>1. Наименование муниципальной услуги</t>
  </si>
  <si>
    <t>2. Категории потребителей муниципальной услуги</t>
  </si>
  <si>
    <t>Уникальный номер</t>
  </si>
  <si>
    <t>по базовому (отраслевому)</t>
  </si>
  <si>
    <t>перечню</t>
  </si>
  <si>
    <t>3. Показатели, характеризующие объем и (или) качество муниципальной услуги:</t>
  </si>
  <si>
    <t>Начальник Управления образования</t>
  </si>
  <si>
    <t>города Пензы</t>
  </si>
  <si>
    <r>
      <rPr>
        <u/>
        <sz val="11"/>
        <color indexed="8"/>
        <rFont val="Times New Roman"/>
        <family val="1"/>
        <charset val="204"/>
      </rPr>
      <t xml:space="preserve">                                    </t>
    </r>
    <r>
      <rPr>
        <sz val="11"/>
        <color indexed="8"/>
        <rFont val="Times New Roman"/>
        <family val="1"/>
        <charset val="204"/>
      </rPr>
      <t>Ю.А.Голодяев</t>
    </r>
  </si>
  <si>
    <t>3.1. Показатели, характеризующие качество муниципальной услуги &lt;2&gt;:</t>
  </si>
  <si>
    <t>Уникальный номер реестровой записи</t>
  </si>
  <si>
    <t>(наименование показателя)</t>
  </si>
  <si>
    <t>Показатель качества муниципальной услуги</t>
  </si>
  <si>
    <t>Значение показателя качества муниципальной услуги</t>
  </si>
  <si>
    <t>единица измерения по ОКЕИ</t>
  </si>
  <si>
    <t>код</t>
  </si>
  <si>
    <t>наименование</t>
  </si>
  <si>
    <t>Наименование показателя</t>
  </si>
  <si>
    <t>2016 год (очередной финансовый год)</t>
  </si>
  <si>
    <t>2017 год (1-й год планового периода)</t>
  </si>
  <si>
    <t>2018 год (2-й год планового периода)</t>
  </si>
  <si>
    <t>выполненным (процентов)</t>
  </si>
  <si>
    <t>Показатель объема муниципальной услуги</t>
  </si>
  <si>
    <t>Значение показателя объема муниципальной услуги</t>
  </si>
  <si>
    <t>наименование на оказание муниципальной услуги (работы)</t>
  </si>
  <si>
    <t>&lt;1&gt; Формируется при установлении муниципального задания на оказание муниципальной услуги (услуг) и работы (работ) и содержит требования к оказанию муниципальной</t>
  </si>
  <si>
    <t>услуги (услуг) раздельно по каждой из муниципальных услуг с указанием порядкового номера раздела</t>
  </si>
  <si>
    <t>&lt;2&gt; Заполняется при установлении показателей, характеризующих качество муниципальной услуги, в ведомственном перечне муниципальных услуг и работ</t>
  </si>
  <si>
    <t>3.2. Показатели, характеризующие объем муниципальной услуги:</t>
  </si>
  <si>
    <t>4. Нормативные правовые акты, устанавливающие размер платы (цену, тариф) либо порядок ее (его) установления:</t>
  </si>
  <si>
    <t>вид</t>
  </si>
  <si>
    <t>принявший орган</t>
  </si>
  <si>
    <t>дата</t>
  </si>
  <si>
    <t>номер</t>
  </si>
  <si>
    <t>Нормативный правовой акт</t>
  </si>
  <si>
    <t>5. Порядок оказания муниципальной услуги</t>
  </si>
  <si>
    <t>5.1. Нормативные правовые акты, регулирующие порядок оказания муниципальной услуги: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</si>
  <si>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</si>
  <si>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</si>
  <si>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</si>
  <si>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</si>
  <si>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 &lt;1&gt;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</si>
  <si>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</si>
  <si>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</si>
  <si>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</si>
  <si>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3.1. Показатели, характеризующие качество работы &lt;2&gt;:</t>
  </si>
  <si>
    <t>Показатель, характеризующий содержание работы (по справочникам)</t>
  </si>
  <si>
    <t>Показатель, характеризующий условия (формы)  выполнения работы (по справочникам)</t>
  </si>
  <si>
    <t>Показатель качества работы</t>
  </si>
  <si>
    <t>Значение показателя качества работы</t>
  </si>
  <si>
    <t xml:space="preserve">допустимые (возможные) отклонения от установленных показателей качества работы, в пределах которых муниципальное задание считается </t>
  </si>
  <si>
    <t>3.2. Показатели, характеризующие объем работы:</t>
  </si>
  <si>
    <t>Показатель объема работы</t>
  </si>
  <si>
    <t>Значение показателя объема работы</t>
  </si>
  <si>
    <t>Показатель, характеризующий условия (формы) выполнения работы (по справочникам)</t>
  </si>
  <si>
    <t xml:space="preserve">допустимые (возможные) отклонения от установленных показателей объема работы, в пределах которых муниципальное задание считается 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</si>
  <si>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</si>
  <si>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задани:я</t>
  </si>
  <si>
    <t>Форма контроля</t>
  </si>
  <si>
    <t>Периодичность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</si>
  <si>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</si>
  <si>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</si>
  <si>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</si>
  <si>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</si>
  <si>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Дошкольная образовательная организация</t>
  </si>
  <si>
    <t>Образование и наука</t>
  </si>
  <si>
    <t>Реализация основных общеобразовательных программ</t>
  </si>
  <si>
    <t>дошкольного образования</t>
  </si>
  <si>
    <t>Физические лица в возрасте до 8 лет</t>
  </si>
  <si>
    <t>не указано</t>
  </si>
  <si>
    <t>От 1 года до 3 лет</t>
  </si>
  <si>
    <t>очная</t>
  </si>
  <si>
    <t>От 3 лет до 8 лет</t>
  </si>
  <si>
    <t>001. Доля детей в возрасте 1 - 3 лет, получающих дошкольную образовательную услугу в муниципальных образовательных учреждениях, в общей численности детей в возрасте 1 - 3 лет;002. Удельный вес дошкольных образовательных учреждений, реализующих основную общеобразовательную программу в рамках введения ФГОС дошкольного образования в общем количестве дошкольных образовательных учреждений</t>
  </si>
  <si>
    <t>001. Доля детей в возрасте 3 - 8 лет, получающих дошкольную образовательную услугу в муниципальных образовательных учреждениях, в общей численности детей в возрасте 3 - 8 лет;002. Удельный вес дошкольных образовательных учреждений, реализующих основную общеобразовательную программу в рамках введения ФГОС дошкольного образования в общем количестве дошкольных образовательных учреждений</t>
  </si>
  <si>
    <t>001. Процент; 002. Процент.</t>
  </si>
  <si>
    <t>001. 744; 002. 744.</t>
  </si>
  <si>
    <t>число обучающихся</t>
  </si>
  <si>
    <t>человек</t>
  </si>
  <si>
    <r>
      <t xml:space="preserve">Раздел </t>
    </r>
    <r>
      <rPr>
        <u/>
        <sz val="11"/>
        <color indexed="8"/>
        <rFont val="Times New Roman"/>
        <family val="1"/>
        <charset val="204"/>
      </rPr>
      <t xml:space="preserve">   1    .</t>
    </r>
  </si>
  <si>
    <r>
      <t xml:space="preserve">Раздел </t>
    </r>
    <r>
      <rPr>
        <u/>
        <sz val="11"/>
        <color indexed="8"/>
        <rFont val="Times New Roman"/>
        <family val="1"/>
        <charset val="204"/>
      </rPr>
      <t xml:space="preserve">   2      .</t>
    </r>
  </si>
  <si>
    <t>Присмотр и уход</t>
  </si>
  <si>
    <t>Проверка</t>
  </si>
  <si>
    <t>КОСГУ</t>
  </si>
  <si>
    <t>смета</t>
  </si>
  <si>
    <t>норматив</t>
  </si>
  <si>
    <t>отклонение</t>
  </si>
  <si>
    <t>доведение</t>
  </si>
  <si>
    <t>от 1 до 3</t>
  </si>
  <si>
    <t>повышение квалификации</t>
  </si>
  <si>
    <t>с 3 до 8</t>
  </si>
  <si>
    <t>норматив на 1 ребенка</t>
  </si>
  <si>
    <t>Реализация основных общеобразовательных программ дошкольного образования</t>
  </si>
  <si>
    <t>кол-во детей</t>
  </si>
  <si>
    <t>в том числе инвалиды</t>
  </si>
  <si>
    <t>субвенция</t>
  </si>
  <si>
    <t>местный</t>
  </si>
  <si>
    <t>Обучающиеся, за исключением детей-инвалидов и инвалидов</t>
  </si>
  <si>
    <t>дети-инвалиды</t>
  </si>
  <si>
    <t>Доля детей в возрасте 1 - 3 лет, получающих услугу по присмотру и уходу, в общей численности детей в возрасте 1 - 3 лет</t>
  </si>
  <si>
    <t>Доля детей в возрасте 3 - 8 лет, получающих услугу по присмотру и уходу, в общей численности детей в возрасте 3 - 8 лет</t>
  </si>
  <si>
    <t>Процент</t>
  </si>
  <si>
    <t>число детей</t>
  </si>
  <si>
    <t>приложение 1</t>
  </si>
  <si>
    <t>Нормативные затраты на оплату труда и начисления на выплаты по оплате труда персонала, принимающего непосредственное участие в оказании муниципальной услуги (за счет бюджета Пензенской области)</t>
  </si>
  <si>
    <t>кол-во педагогических ставок</t>
  </si>
  <si>
    <t>Оклад с учетом k специфики</t>
  </si>
  <si>
    <t>k стимулирования</t>
  </si>
  <si>
    <t>количество месяцев</t>
  </si>
  <si>
    <t>k увеличения</t>
  </si>
  <si>
    <t>начисления на оплату труда</t>
  </si>
  <si>
    <t>Субвенция</t>
  </si>
  <si>
    <t>ФЗП в мес</t>
  </si>
  <si>
    <t>ставки</t>
  </si>
  <si>
    <t>без стимуляции</t>
  </si>
  <si>
    <t>стимуляция</t>
  </si>
  <si>
    <t>всего</t>
  </si>
  <si>
    <t xml:space="preserve">вопитатели </t>
  </si>
  <si>
    <t>прочие</t>
  </si>
  <si>
    <t>Норматив   на   приобретение   материальных   запасов, потребляемых в процессе оказания муниципальной услуги</t>
  </si>
  <si>
    <t xml:space="preserve">количество </t>
  </si>
  <si>
    <t>Расходы  на   приобретение   материальных   запасов, потребляемых в процессе оказания муниципальной услуги</t>
  </si>
  <si>
    <t>учебные расходы</t>
  </si>
  <si>
    <t>доп. проф. образование педагогических работников</t>
  </si>
  <si>
    <t>Нормативные затраты на оплату труда и начисления на выплаты по оплате труда персонала, принимающего непосредственное участие в оказании муниципальной услуги (за счет бюджета города Пензы)</t>
  </si>
  <si>
    <t>Субсидия</t>
  </si>
  <si>
    <t>приложение 2</t>
  </si>
  <si>
    <t>Нормативные затраты на оплату труда и начисления на выплаты по оплате труда персонала, не принимающего непосредственное участие в оказании муниципальной услуги (за счет бюджета Пензенской области)</t>
  </si>
  <si>
    <t>кол-во ставок</t>
  </si>
  <si>
    <t>Нормативные затраты на оплату труда и начисления на выплаты по оплате труда персонала, не принимающего непосредственное участие в оказании муниципальной услуги (за счет бюджета города Пензы)</t>
  </si>
  <si>
    <t xml:space="preserve"> </t>
  </si>
  <si>
    <t>норматив на а компенсационные выплаты по уходу за ребенком</t>
  </si>
  <si>
    <t>количество работников, имеющих право на получение компенсационных выплат по уходу за ребенком</t>
  </si>
  <si>
    <t>расходы на на получение компенсационных выплат по уходу за ребенком</t>
  </si>
  <si>
    <t>приложение 3</t>
  </si>
  <si>
    <t xml:space="preserve">Нормативные затраты на содержание недвижимого имущества </t>
  </si>
  <si>
    <t>стоимость</t>
  </si>
  <si>
    <t>количество ед. услуг</t>
  </si>
  <si>
    <t xml:space="preserve">нормативные затраты </t>
  </si>
  <si>
    <t>вывоз мусора</t>
  </si>
  <si>
    <t>*</t>
  </si>
  <si>
    <t>дератизация</t>
  </si>
  <si>
    <t>АПС</t>
  </si>
  <si>
    <t>замер сопротивления</t>
  </si>
  <si>
    <t xml:space="preserve">Нормативные затраты на приобретение услуг связи и приобретение транспортных услуг </t>
  </si>
  <si>
    <t>приобретение услуг связи (абонентская плата)</t>
  </si>
  <si>
    <t>поминутная оплата</t>
  </si>
  <si>
    <t>итого</t>
  </si>
  <si>
    <t xml:space="preserve">приобретение транспортных услуг </t>
  </si>
  <si>
    <t>Объем прочих затрат на общехозяйственные нужды</t>
  </si>
  <si>
    <t xml:space="preserve"> объем прочих затрат на общехозяйственные нужды</t>
  </si>
  <si>
    <t>Затраты на хоз.нужды</t>
  </si>
  <si>
    <t>Прочие нормативные затраты на общехозяйственные нужды</t>
  </si>
  <si>
    <t>Электронная отчетность</t>
  </si>
  <si>
    <t>приложение 4</t>
  </si>
  <si>
    <t xml:space="preserve">Нормативные затраты на содержание движимого имущества </t>
  </si>
  <si>
    <t>Тех.обслуживание</t>
  </si>
  <si>
    <t>Текущий ремонт</t>
  </si>
  <si>
    <t>Тревожная кнопка</t>
  </si>
  <si>
    <t>Нормативные затраты на материальные запасы</t>
  </si>
  <si>
    <t>ГСМ</t>
  </si>
  <si>
    <t>Зап.части</t>
  </si>
  <si>
    <t>Лакокрасочные материалы</t>
  </si>
  <si>
    <t xml:space="preserve"> Нормативные затраты на обязательное страхование гражданской ответственности владельцев транспортных средств</t>
  </si>
  <si>
    <t>тариф</t>
  </si>
  <si>
    <t>объем потребления</t>
  </si>
  <si>
    <t>нормативные затраты на коммунальные услуги</t>
  </si>
  <si>
    <t>Автострахование</t>
  </si>
  <si>
    <t xml:space="preserve"> Прочие нормативные затраты на содержание  движимого имущества</t>
  </si>
  <si>
    <t>Определение нормативных затрат на оказание муниципальной услуги</t>
  </si>
  <si>
    <t>Объем приобретаемых муниципальных услуг (выполняемых работ) в стоимостных показателях</t>
  </si>
  <si>
    <t xml:space="preserve">Наименование приобретаемых муниципальных услуг </t>
  </si>
  <si>
    <t>Единица измерения</t>
  </si>
  <si>
    <t>Норматив финансовых затрат на единицу приобретаемой муниципальной услуги (выполняемой работы) (руб.)</t>
  </si>
  <si>
    <t>Общий объем приобретаемых муниципальных услуг (выполняемых работ) (руб)</t>
  </si>
  <si>
    <t>1. Затраты, непосредственно связанные с оказанием муниципальной услуги. (приложение1)</t>
  </si>
  <si>
    <t>затраты на оплату труда  персонала, принимающего непосредственное участие в оказании муниципальной услуги</t>
  </si>
  <si>
    <t>руб.</t>
  </si>
  <si>
    <t>затраты на  начисления на выплаты по оплате труда и персонала, принимающего непосредственное участие в оказании муниципальной услуги</t>
  </si>
  <si>
    <t>Нормативные   затраты   на   приобретение   материальных   запасов, потребляемых в процессе оказания муниципальной услуги</t>
  </si>
  <si>
    <t xml:space="preserve"> затраты на доп. проф. образование педагогических работников</t>
  </si>
  <si>
    <t>1.1 В том числе затраты, непосредственно связанные с оказанием муниципальной услуги. (за счет бюджета Пензенской области)</t>
  </si>
  <si>
    <t>1.2 В том числе затраты, непосредственно связанные с оказанием муниципальной услуги. (за счет бюджета города Пензы)</t>
  </si>
  <si>
    <t>2. Затраты, на общехозяйственные нужды.</t>
  </si>
  <si>
    <t>2.1 Затраты на оплату труда и начисления на выплаты по оплате труда  персонала, не принимающего непосредственное участие в оказании муниципальной услуги (приложение2)</t>
  </si>
  <si>
    <t>затраты на оплату труда  персонала, не принимающего непосредственное участие в оказании муниципальной услуги</t>
  </si>
  <si>
    <t>затраты на  начисления на выплаты по оплате труда  персонала, не принимающего непосредственное участие в оказании муниципальной услуги</t>
  </si>
  <si>
    <t>затраты на компенсационные выплаты по уходу за ребенком</t>
  </si>
  <si>
    <t>2.1.1 в том числе затраты на оплату труда и начисления на выплаты по оплате труда  персонала, не принимающего непосредственное участие в оказании муниципальной услуги (за счет бюджета Пензенской области)</t>
  </si>
  <si>
    <t>2.1.2 в том числе затраты на оплату труда и начисления на выплаты по оплате труда  персонала, не принимающего непосредственное участие в оказании муниципальной услуги (за счет бюджета города Пензы)</t>
  </si>
  <si>
    <t>2.2 Затраты на содержание недвижимого имущества (приложение3)</t>
  </si>
  <si>
    <t>2.3. Затраты на приобретение услуг связи (приложение3)</t>
  </si>
  <si>
    <t xml:space="preserve">приобретение услуг связи </t>
  </si>
  <si>
    <t>2.4.Прочие нормативные затраты на общехозяйственные нужды (приложение3)</t>
  </si>
  <si>
    <t xml:space="preserve">Всего </t>
  </si>
  <si>
    <t>2.5 Нормативные затраты на техническое обслуживание и текущий ремонт объектов движимого имущества (приложение 4)</t>
  </si>
  <si>
    <t>2.6 Нормативные затраты на материальные запасы (приложение3)</t>
  </si>
  <si>
    <t>2.7 Нормативные затраты на обязательное страхование гражданской ответственности владельцев транспортных средств (приложение 4)</t>
  </si>
  <si>
    <t>2.8 Прочие нормативные затраты на содержание  движимого имущества (приложение 4)</t>
  </si>
  <si>
    <t>2.9. Приобретение коммунальных услуг (приложение 5)</t>
  </si>
  <si>
    <t>холодное водоснабжение</t>
  </si>
  <si>
    <t>водоотведение</t>
  </si>
  <si>
    <t>тепловая  энергия</t>
  </si>
  <si>
    <t>электрическая энергия</t>
  </si>
  <si>
    <t>Всего затраты на общехозяйственные нужды</t>
  </si>
  <si>
    <t>3 Нормативные затраты на содержание имущества  (приложение 6)</t>
  </si>
  <si>
    <t>- налог на имущество</t>
  </si>
  <si>
    <t>- налог на землю</t>
  </si>
  <si>
    <t>транспортный налог</t>
  </si>
  <si>
    <t>экологический сбор</t>
  </si>
  <si>
    <t>гос.пошлина</t>
  </si>
  <si>
    <t>Всего по учреждению</t>
  </si>
  <si>
    <t>Нормативные затраты на коммунальные услуги</t>
  </si>
  <si>
    <t>ед.измерения</t>
  </si>
  <si>
    <t>тариф (руб.)</t>
  </si>
  <si>
    <t>нормативные затраты на коммунальные услуги с учетом увеличения</t>
  </si>
  <si>
    <t>м3</t>
  </si>
  <si>
    <t>горячее водоснабжение</t>
  </si>
  <si>
    <t>гКал</t>
  </si>
  <si>
    <t>кВат</t>
  </si>
  <si>
    <t>приложение 6</t>
  </si>
  <si>
    <t>Нормативные затраты на уплату налогов</t>
  </si>
  <si>
    <t>налогооблагаемая база</t>
  </si>
  <si>
    <t>ставка налога</t>
  </si>
  <si>
    <t xml:space="preserve">Налог на имущество </t>
  </si>
  <si>
    <t xml:space="preserve">Налог на землю  </t>
  </si>
  <si>
    <t>Расчет норматива затрат, непосредственно связанных с оказанием муниципальной услуги</t>
  </si>
  <si>
    <t xml:space="preserve">воспитатели </t>
  </si>
  <si>
    <t>Расчет норматива затрат, непосредственно  не связанных с оказанием муниципальной услуги</t>
  </si>
  <si>
    <t>интернет</t>
  </si>
  <si>
    <t>Гл.бухгалтер</t>
  </si>
  <si>
    <t>тех.обслуживание видеонаблюдения</t>
  </si>
  <si>
    <t>тех.обслуживание радиомодема</t>
  </si>
  <si>
    <t>тех.обслуживание теплосчетчиков</t>
  </si>
  <si>
    <t>ТО оборудования</t>
  </si>
  <si>
    <t>Очистка кровли</t>
  </si>
  <si>
    <t>Заправка и ремонт картриджей</t>
  </si>
  <si>
    <t>Ремонтные работы</t>
  </si>
  <si>
    <t>Утилизация отходов (ртутосодержащие лампы)</t>
  </si>
  <si>
    <t>Противопожарные мероприятия:</t>
  </si>
  <si>
    <t>Оценка качества огнезащитных работ</t>
  </si>
  <si>
    <t>Испытание электрозащиты</t>
  </si>
  <si>
    <t>Медосмотр всего:</t>
  </si>
  <si>
    <t>женщины</t>
  </si>
  <si>
    <t>мужчины</t>
  </si>
  <si>
    <t>маммография</t>
  </si>
  <si>
    <t>рентген</t>
  </si>
  <si>
    <t>1С сопровождение</t>
  </si>
  <si>
    <t>Подписка</t>
  </si>
  <si>
    <t>Курсы повышения квалификации</t>
  </si>
  <si>
    <t>Договор подряда</t>
  </si>
  <si>
    <t>Реализация основных общеобразовательных программ дошкольного образования (от 1 года до 3 лет)</t>
  </si>
  <si>
    <t>Реализация основных общеобразовательных программ дошкольного образования (от 3 лет до 8 лет)</t>
  </si>
  <si>
    <t>Присмотр и уход (от 1 года до 3 лет)</t>
  </si>
  <si>
    <t>Присмотр и уход (от 3 лет до 8 лет)</t>
  </si>
  <si>
    <t>Присмотр и уход (дети-инвалиды от 1 года до 3 лет)</t>
  </si>
  <si>
    <t>Присмотр и уход (дети-инвалиды от 3 лет до 8 лет)</t>
  </si>
  <si>
    <t>Наименование муниципальной услуги</t>
  </si>
  <si>
    <t>объем муниципальных услуг в натуральных показателях</t>
  </si>
  <si>
    <t xml:space="preserve">Присмотр и уход </t>
  </si>
  <si>
    <t>Приказ</t>
  </si>
  <si>
    <t>Управление образования города Пензы</t>
  </si>
  <si>
    <t>на официальном сайте учреждения</t>
  </si>
  <si>
    <t>приним</t>
  </si>
  <si>
    <t>не приним</t>
  </si>
  <si>
    <t xml:space="preserve">Наименование муниципального учреждения: </t>
  </si>
  <si>
    <t>Заведующий</t>
  </si>
  <si>
    <t>Перевыпуск сертификатов ЭЦП</t>
  </si>
  <si>
    <t>Объем компонента тепловой энергии в горячей воде</t>
  </si>
  <si>
    <t>тех.обслуживание кнопки тревожной сигнализации</t>
  </si>
  <si>
    <t>Тех.обслуж.прибора учета ТЭР</t>
  </si>
  <si>
    <t>Поверка пожарных гидрантов</t>
  </si>
  <si>
    <t>Испытания пожарных кранов</t>
  </si>
  <si>
    <t xml:space="preserve">электрическая энергия </t>
  </si>
  <si>
    <t>k увеличения нормативных затрат на коммунальные услуги</t>
  </si>
  <si>
    <t>k увеличения нормативных затрат на содеожание имущества</t>
  </si>
  <si>
    <t>1 раз в год</t>
  </si>
  <si>
    <t>Проверка работоспособности источника внутреннего противопожарного водопровода</t>
  </si>
  <si>
    <t>группа полного дня</t>
  </si>
  <si>
    <t>Техническое обслуживание видеонаблюдения</t>
  </si>
  <si>
    <t>85.11</t>
  </si>
  <si>
    <t>Заправка огнетушителей</t>
  </si>
  <si>
    <t>ТО огнетушителей</t>
  </si>
  <si>
    <t>кол-во детей на 01.01.2018</t>
  </si>
  <si>
    <t>кол-во детей на 01.09.2018</t>
  </si>
  <si>
    <t>среднегодовое на 2018 год</t>
  </si>
  <si>
    <t>инвалиды на 01.01.2018</t>
  </si>
  <si>
    <t>инвалиды на 01.09.2018</t>
  </si>
  <si>
    <t>кол-во детей на 01.01.2019</t>
  </si>
  <si>
    <t>кол-во детей на 01.09.2019</t>
  </si>
  <si>
    <t>среднегодовое на 2019 год</t>
  </si>
  <si>
    <t xml:space="preserve">Норматив   </t>
  </si>
  <si>
    <t xml:space="preserve">Расходы  </t>
  </si>
  <si>
    <t>226 (119)</t>
  </si>
  <si>
    <t>340 (119)</t>
  </si>
  <si>
    <t>Норматив   на   финансовое обеспечение предупредительных мер по сокращению производственного травматизма и профессиональных заболеваний (за счет бюджета Пензенской области) .</t>
  </si>
  <si>
    <t>Норматив   на   финансовое обеспечение предупредительных мер по сокращению производственного травматизма и профессиональных заболеваний (за счет бюджета города Пензы) .</t>
  </si>
  <si>
    <t>заправка картриджей</t>
  </si>
  <si>
    <t>Органы местного самоуправления, осуществляющие контроль за выполнением муниципального задания</t>
  </si>
  <si>
    <t>Показатель, характеризующий содержание муниципальной услуги (по справочникам)</t>
  </si>
  <si>
    <t>Показатель, характеризующий условия (формы) оказания муниципальной услуги (по справочникам)</t>
  </si>
  <si>
    <t xml:space="preserve">единица измерения </t>
  </si>
  <si>
    <t>5.2. Порядок информирования потенциальных потребителей муниципальной услуги:</t>
  </si>
  <si>
    <t>1. Основание (условия и порядок) для досрочного прекращения выполнения муниципального задания</t>
  </si>
  <si>
    <t xml:space="preserve"> Код по Сводному реестру</t>
  </si>
  <si>
    <t>Код по общероссийскому базовому перечню или региональному</t>
  </si>
  <si>
    <t>в процентах</t>
  </si>
  <si>
    <t>в абсолютных величинах</t>
  </si>
  <si>
    <t>в соответсвии с постановлением Администрации города Пензы №2147 от 14.12.2015 г. "О порядке формирования муниципального задания на оказание муниципальных услуг (выполнение работ) в отношении муниципальных учреждений и финансового обеспечения выполнения муниципального задания"</t>
  </si>
  <si>
    <t>не позднее 1 февраля финансового года, следующего за отчетным</t>
  </si>
  <si>
    <t>(указывается вид муниципального учреждения из общероссийского базового  перечня или регионального перечня)</t>
  </si>
  <si>
    <t>211 (М, R)</t>
  </si>
  <si>
    <t>213 (М, R)</t>
  </si>
  <si>
    <t>Госпошлина</t>
  </si>
  <si>
    <t>При распечатывании свода столбцы C, D, G необходимо скрывать!!!!</t>
  </si>
  <si>
    <t>среднегодовое на 2020 год</t>
  </si>
  <si>
    <t>кол-во детей на 01.01.2020</t>
  </si>
  <si>
    <t>кол-во детей на 01.09.2020</t>
  </si>
  <si>
    <t xml:space="preserve">1. Общие сведения (полное наименование образовательного учреждения, тип и вид 
учреждения,  адрес образовательного учреждения; Ф.И.О. руководителя 
образовательного учреждения; контактная информация для связи с образовательным 
учрежде
нием (телефоны,  факс, адрес электронной почты, адрес сайта);
и.т.д.);
2. Документы (устав образовательного учреждения;  программа развития 
образовательного учреждения;  другие локальные нормативные акты);
3. Учебная и воспитательная деятельность (образова
тельная программа учреждения, 
учебный план; содержание реализуемой образовательной программы и 
дополнительных образовательных программ; и.т.д.);
4.Отчетность (отчет о деятельности образовательного учреждения за год, 
включающий в себя сведения об основных р
езультатах деятельности 
образовательного учреждения);
5.Информация для поступающих в образовательное учреждение (правила приема в 
образовательное учреждение; информация о зачислении в образовательное 
учреждение).
6.Другая информация о деятельности образова
тельного учреждения (участие 
образовательного учреждения в проектах; дополнительные занятия; </t>
  </si>
  <si>
    <t>По мере изменения данных</t>
  </si>
  <si>
    <t>Задание может быть досрочно прекращено (полностью или частично) в случаях:
- реорганизации или ликвидации муниципального бюджетного дошкольного образовательного учреждения ;
- изменения типа учреждения;
- исключение муниципальной услуги из перечня муниципальных услуг;
-  иных  случаях,  когда учреждение  не  обеспечивает  выполнение задания  или  имеются  основания  предполагать,  что  задание  не будет выполнено  в 
полном объеме или в соответствии с иными установленными требованиями.</t>
  </si>
  <si>
    <t xml:space="preserve">Согласно  п.  15  приказа  Минфина  России  от  21.07.2011  No  86-н  «Об  утверждении  порядка  предоставления  информации  государственным 
(муниципальным) учреждением ее размещения на официальном сайте в сети интернет и ведения указанного сайта» муниципальное задание и отчет о 
выполнении   муниципального   задания   размещаются   на  официальном   сайте   в   информационно-телекоммуникационной   сети   «Интернет» 
</t>
  </si>
  <si>
    <t>Выездная проверка</t>
  </si>
  <si>
    <t>В соответствии с приказом Управления образования города Пензы</t>
  </si>
  <si>
    <t>4.2.1. Сроки представления предварительного отчета о выполнении муниципального задания           до 01 ноября текущего года</t>
  </si>
  <si>
    <t>Федеральный закон от 29.12.2012 №273-ФЗ «Об образовании в Российской Федерации» (с изменениями и дополнениями)</t>
  </si>
  <si>
    <t>Федеральный закон от 06.10.2003 №131-ФЗ «Об общих принципах организации местного самоуправления в Российской Федрации» (с изменениями и дополнениями)</t>
  </si>
  <si>
    <t xml:space="preserve"> Приказ Министерства образования и науки Российской Федерации от 30.08.2013 № 1014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образования»; (с изменениями и дополнениями)</t>
  </si>
  <si>
    <t xml:space="preserve"> 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 (с изменениями и дополнениями)</t>
  </si>
  <si>
    <t xml:space="preserve"> Постановление Главного государственного санитарного врача Российской Федерации от 15.05.2013 г. № 26 «Об утверждении СанПиН 2.4.1.3049-13 «Санитарно эпидемиологические требования к устройству, содержанию и организации режима работы дошкольных образовательных организаций» (с изменениями и дополнениями)</t>
  </si>
  <si>
    <r>
      <t xml:space="preserve">Уникальный номер реестровой записи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</si>
  <si>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(наименование показателя </t>
    </r>
    <r>
      <rPr>
        <vertAlign val="superscript"/>
        <sz val="8"/>
        <color theme="1"/>
        <rFont val="Times New Roman"/>
        <family val="1"/>
        <charset val="204"/>
      </rPr>
      <t>4</t>
    </r>
    <r>
      <rPr>
        <sz val="8"/>
        <color theme="1"/>
        <rFont val="Times New Roman"/>
        <family val="1"/>
        <charset val="204"/>
      </rPr>
      <t>)</t>
    </r>
  </si>
  <si>
    <r>
      <t xml:space="preserve">Наименование показателя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</si>
  <si>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наименование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</si>
  <si>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код по ОКЕИ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</si>
  <si>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Наименование показателя </t>
    </r>
    <r>
      <rPr>
        <vertAlign val="superscript"/>
        <sz val="8"/>
        <rFont val="Times New Roman"/>
        <family val="1"/>
        <charset val="204"/>
      </rPr>
      <t>4</t>
    </r>
  </si>
  <si>
    <t>единица измерения</t>
  </si>
  <si>
    <r>
      <t xml:space="preserve">наименование </t>
    </r>
    <r>
      <rPr>
        <vertAlign val="superscript"/>
        <sz val="8"/>
        <rFont val="Times New Roman"/>
        <family val="1"/>
        <charset val="204"/>
      </rPr>
      <t>4</t>
    </r>
  </si>
  <si>
    <r>
      <t xml:space="preserve">код по ОКЕИ </t>
    </r>
    <r>
      <rPr>
        <vertAlign val="superscript"/>
        <sz val="8"/>
        <rFont val="Times New Roman"/>
        <family val="1"/>
        <charset val="204"/>
      </rPr>
      <t>5</t>
    </r>
  </si>
  <si>
    <t>5. Иные показатели, связанные с выполнением муниципального задания &lt;9&gt;</t>
  </si>
  <si>
    <t>&lt;1&gt; Заполняется в случае досрочного прекращения выполнения муниципального задания.</t>
  </si>
  <si>
    <t>&lt;2&gt; Формируется при установлении муниципального о задания на оказание муниципальной услуги (услуг) и выполнение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</si>
  <si>
    <t>&lt;3&gt; Заполняется в соответствии с показателями, характеризующими качество услуг (работ), установленными в общероссийском базовом перечне или региональном перечне, а при их отсутствии или в дополнение к ним - показателями, характеризующими качество, установленными при необходимости органом, осуществляющим функции и полномочия учредителя муниципальных бюджетных или автономных учреждений, главным распорядителем средств бюджета города Пензы, в ведении которого находятся муниципальные казенные учреждения, и единицы их измерения.</t>
  </si>
  <si>
    <t>&lt;4&gt; Заполняется в соответствии с общероссийскими базовыми перечнями или региональными перечнями.</t>
  </si>
  <si>
    <t>&lt;5&gt; Заполняется в соответствии с кодом, указанным в общероссийском базовом перечне или региональном перечне (при наличии).</t>
  </si>
  <si>
    <t>&lt;6&gt; Заполняется в случае, если для разных услуг и работ устанавливаются различные показатели допустимых (возможных) отклонений или если указанные отклонения устанавливаются в абсолютных величинах. В случае, если единицей объема работы является работа в целом, показатель не указывается.</t>
  </si>
  <si>
    <t>&lt;7&gt; Заполняется в случае, если оказание услуг (выполнение работ) осуществляется на платной основе в соответствии с законодательством Российской Федерации в рамках муниципального задания. При оказании услуг (выполнении работ) на платной основе сверх установленного муниципального задания указанный показатель не формируется.</t>
  </si>
  <si>
    <t>&lt;8&gt; Заполняется в целом по муниципальному заданию.</t>
  </si>
  <si>
    <t>&lt;9&gt; В числе иных показателей может быть указано допустимое (возможное) отклонение от выполнения муниципального задания (части муниципального задания), в пределах которого оно (его часть) считается выполненным (выполненной), при принятии органом, осуществляющим функции и полномочия учредителя муниципальных бюджетных или автономных учреждений, главным распорядителем средств бюджета города Пензы, в ведении которого находятся муниципальные казенные учреждения, решения об установлении общего допустимого (возможного) отклонения от выполнения муниципального задания, в пределах которого оно считается выполненным (в процентах, в абсолютных величинах). В этом случае допустимые (возможные) отклонения, предусмотренные подпунктами 3.1 и 3.2 настоящего муниципального задания, не заполняются.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муниципальных услуг (выполнения работ) или в абсолютных величинах как для муниципального задания в целом, так и относительно его части (в том числе с учетом неравномерного оказания муниципальных услуг (выполнения работ) в течение календарного года).</t>
  </si>
  <si>
    <t>Закон Пензенской области</t>
  </si>
  <si>
    <t>Законодательное собрание Пензенской области</t>
  </si>
  <si>
    <t>Об установлении нормативов финансового обеспечения образовательной деятельности в Пензенской области</t>
  </si>
  <si>
    <t>2999-ЗПО</t>
  </si>
  <si>
    <t>Расходы на повышение оплаты труда работникам (М)</t>
  </si>
  <si>
    <t>Расходы на повышение оплаты труда работникам (R)</t>
  </si>
  <si>
    <r>
      <t xml:space="preserve">Размер платы (цена, тариф) </t>
    </r>
    <r>
      <rPr>
        <vertAlign val="superscript"/>
        <sz val="8"/>
        <rFont val="Times New Roman"/>
        <family val="1"/>
        <charset val="204"/>
      </rPr>
      <t>7</t>
    </r>
  </si>
  <si>
    <t xml:space="preserve"> Дата начала действия</t>
  </si>
  <si>
    <r>
      <t xml:space="preserve"> Дата окончания действия </t>
    </r>
    <r>
      <rPr>
        <vertAlign val="superscript"/>
        <sz val="10"/>
        <color theme="1"/>
        <rFont val="Times New Roman"/>
        <family val="1"/>
        <charset val="204"/>
      </rPr>
      <t>1</t>
    </r>
  </si>
  <si>
    <t>3.1. Показатели, характеризующие качество муниципальной услуги &lt;3&gt;:</t>
  </si>
  <si>
    <t>Часть 1. Сведения об оказываемых муниципальных услугах &lt;2&gt;</t>
  </si>
  <si>
    <t>Часть 3. Прочие сведения о муниципальном задании &lt;8&gt;</t>
  </si>
  <si>
    <r>
      <t xml:space="preserve">Допустимые (возможные) отклонения от установленных показателей качества муниципальной услуги </t>
    </r>
    <r>
      <rPr>
        <vertAlign val="superscript"/>
        <sz val="8"/>
        <rFont val="Times New Roman"/>
        <family val="1"/>
        <charset val="204"/>
      </rPr>
      <t>6</t>
    </r>
  </si>
  <si>
    <r>
      <t xml:space="preserve">Допустимые (возможные) отклонения от установленных показателей объема муниципальной услуги </t>
    </r>
    <r>
      <rPr>
        <vertAlign val="superscript"/>
        <sz val="8"/>
        <rFont val="Times New Roman"/>
        <family val="1"/>
        <charset val="204"/>
      </rPr>
      <t>6</t>
    </r>
  </si>
  <si>
    <t>на 2019 год и на плановый период 2020 и 2021 годов</t>
  </si>
  <si>
    <t>2019 год (очередной финансовый год)</t>
  </si>
  <si>
    <t>2020 год (1-й год планового периода)</t>
  </si>
  <si>
    <t>2021 год (2-й год планового периода)</t>
  </si>
  <si>
    <t xml:space="preserve"> «Об установлении нормативов на оказание муниципальных услуг (выполнение работ) на 2019 год и плановый период 2020 и 2021 годов в муниципальных учреждениях образования города Пензы, в отношении которых функции и полномочия учредителя осуществляет Управление образования города Пензы»</t>
  </si>
  <si>
    <t>О внесении изменений в приказ Управления образования города Пензы от №136 от 01.08.2018 «Об установлении нормативов на оказание муниципальных услуг (выполнение работ) на 2019 год и плановый период 2020 и 2021 годов в муниципальных учреждениях образования города Пензы, в отношении которых функции и полномочия учредителя осуществляет Управление образования города Пензы».</t>
  </si>
  <si>
    <r>
      <t>"</t>
    </r>
    <r>
      <rPr>
        <u/>
        <sz val="11"/>
        <color indexed="8"/>
        <rFont val="Times New Roman"/>
        <family val="1"/>
        <charset val="204"/>
      </rPr>
      <t xml:space="preserve"> _09___  "   ____01___   2019     г.</t>
    </r>
  </si>
  <si>
    <t>норматив на 1 ребенка (согласно приказа)</t>
  </si>
  <si>
    <t>Коррект. коэф.</t>
  </si>
  <si>
    <t>343,344,345,346,349,353</t>
  </si>
  <si>
    <t>Отклонение не должно превышать 100 руб.</t>
  </si>
  <si>
    <t>Муниципальное бюджетное дошкольное образовательное учреждение детский сад № 52 г. Пензы "Полянка"</t>
  </si>
  <si>
    <r>
      <t xml:space="preserve">МУНИЦИПАЛЬНОЕ ЗАДАНИЕ № </t>
    </r>
    <r>
      <rPr>
        <sz val="11"/>
        <color rgb="FFFF0000"/>
        <rFont val="Times New Roman"/>
        <family val="1"/>
        <charset val="204"/>
      </rPr>
      <t>2D240</t>
    </r>
  </si>
  <si>
    <t>Возмещение коммунальных услуг</t>
  </si>
  <si>
    <t>тех.обслуживание систем погодного регулирования</t>
  </si>
  <si>
    <t>санитарная уборка контейнерной площадки</t>
  </si>
  <si>
    <t>Огнезащитная обработка</t>
  </si>
  <si>
    <t>Промывка, опресовка</t>
  </si>
  <si>
    <t>Поверка весов, манометров</t>
  </si>
  <si>
    <t>Обследование тех.состояния вен.каналов</t>
  </si>
  <si>
    <t>Перекатка рукавов</t>
  </si>
  <si>
    <t>Т.Б.Сидорова</t>
  </si>
  <si>
    <t>Е.В.Смирнова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</si>
</sst>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00"/>
    <numFmt numFmtId="166" formatCode="#,##0.000"/>
    <numFmt numFmtId="167" formatCode="#,##0.00000"/>
  </numFmts>
  <fonts count="5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u/>
      <sz val="14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0"/>
      <name val="Arial Cyr"/>
      <charset val="204"/>
    </font>
    <font>
      <u/>
      <sz val="14"/>
      <color indexed="8"/>
      <name val="Times New Roman"/>
      <family val="1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u/>
      <sz val="12"/>
      <name val="Verdana"/>
      <family val="2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color theme="0"/>
      <name val="Verdana"/>
      <family val="2"/>
      <charset val="204"/>
    </font>
    <font>
      <sz val="10"/>
      <color theme="0"/>
      <name val="Arial Cyr"/>
      <charset val="204"/>
    </font>
    <font>
      <sz val="9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24"/>
      <name val="Arial Cyr"/>
      <charset val="204"/>
    </font>
    <font>
      <sz val="7.5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28" fillId="0" borderId="0"/>
    <xf numFmtId="164" fontId="28" fillId="0" borderId="0" applyFont="0" applyFill="0" applyBorder="0" applyAlignment="0" applyProtection="0"/>
  </cellStyleXfs>
  <cellXfs count="563">
    <xf numFmtId="0" fontId="0" fillId="0" borderId="0" xfId="0"/>
    <xf numFmtId="0" fontId="29" fillId="0" borderId="0" xfId="0" applyFont="1"/>
    <xf numFmtId="0" fontId="29" fillId="0" borderId="0" xfId="0" applyFont="1" applyBorder="1"/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/>
    <xf numFmtId="0" fontId="29" fillId="0" borderId="0" xfId="0" applyFont="1" applyBorder="1" applyAlignment="1"/>
    <xf numFmtId="0" fontId="31" fillId="0" borderId="1" xfId="0" applyFont="1" applyBorder="1" applyAlignment="1">
      <alignment horizontal="center"/>
    </xf>
    <xf numFmtId="0" fontId="29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29" fillId="0" borderId="2" xfId="0" applyFont="1" applyBorder="1"/>
    <xf numFmtId="0" fontId="32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29" fillId="0" borderId="0" xfId="0" applyFont="1" applyAlignment="1">
      <alignment horizontal="left"/>
    </xf>
    <xf numFmtId="0" fontId="29" fillId="0" borderId="0" xfId="0" applyFont="1" applyBorder="1" applyAlignment="1">
      <alignment horizontal="center"/>
    </xf>
    <xf numFmtId="0" fontId="33" fillId="0" borderId="0" xfId="0" applyFont="1"/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10" fillId="0" borderId="0" xfId="1"/>
    <xf numFmtId="0" fontId="10" fillId="0" borderId="1" xfId="1" applyBorder="1"/>
    <xf numFmtId="0" fontId="12" fillId="0" borderId="1" xfId="1" applyFont="1" applyBorder="1"/>
    <xf numFmtId="4" fontId="12" fillId="0" borderId="1" xfId="1" applyNumberFormat="1" applyFont="1" applyBorder="1"/>
    <xf numFmtId="4" fontId="12" fillId="0" borderId="0" xfId="1" applyNumberFormat="1" applyFont="1"/>
    <xf numFmtId="0" fontId="12" fillId="0" borderId="0" xfId="1" applyFont="1"/>
    <xf numFmtId="4" fontId="10" fillId="0" borderId="1" xfId="1" applyNumberFormat="1" applyBorder="1"/>
    <xf numFmtId="4" fontId="10" fillId="0" borderId="1" xfId="1" applyNumberFormat="1" applyBorder="1" applyProtection="1">
      <protection locked="0"/>
    </xf>
    <xf numFmtId="4" fontId="1" fillId="0" borderId="1" xfId="2" applyNumberFormat="1" applyFont="1" applyBorder="1" applyAlignment="1">
      <alignment vertical="top" wrapText="1"/>
    </xf>
    <xf numFmtId="4" fontId="10" fillId="0" borderId="0" xfId="1" applyNumberFormat="1"/>
    <xf numFmtId="0" fontId="10" fillId="0" borderId="0" xfId="1" applyAlignment="1"/>
    <xf numFmtId="0" fontId="10" fillId="0" borderId="0" xfId="1" applyNumberFormat="1" applyAlignment="1">
      <alignment wrapText="1"/>
    </xf>
    <xf numFmtId="4" fontId="10" fillId="0" borderId="0" xfId="1" applyNumberFormat="1" applyFont="1"/>
    <xf numFmtId="0" fontId="13" fillId="0" borderId="0" xfId="1" applyFont="1" applyAlignment="1">
      <alignment horizontal="center" wrapText="1"/>
    </xf>
    <xf numFmtId="0" fontId="10" fillId="0" borderId="0" xfId="1" applyAlignment="1">
      <alignment wrapText="1"/>
    </xf>
    <xf numFmtId="4" fontId="12" fillId="0" borderId="1" xfId="1" applyNumberFormat="1" applyFont="1" applyBorder="1" applyProtection="1">
      <protection locked="0"/>
    </xf>
    <xf numFmtId="0" fontId="10" fillId="8" borderId="1" xfId="1" applyFill="1" applyBorder="1"/>
    <xf numFmtId="4" fontId="1" fillId="8" borderId="1" xfId="2" applyNumberFormat="1" applyFont="1" applyFill="1" applyBorder="1" applyAlignment="1">
      <alignment vertical="top" wrapText="1"/>
    </xf>
    <xf numFmtId="4" fontId="10" fillId="8" borderId="1" xfId="1" applyNumberFormat="1" applyFill="1" applyBorder="1" applyProtection="1">
      <protection locked="0"/>
    </xf>
    <xf numFmtId="4" fontId="34" fillId="0" borderId="1" xfId="0" applyNumberFormat="1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14" fillId="0" borderId="0" xfId="1" applyFont="1"/>
    <xf numFmtId="0" fontId="15" fillId="0" borderId="0" xfId="1" applyFont="1" applyBorder="1" applyAlignment="1">
      <alignment horizontal="center" wrapText="1"/>
    </xf>
    <xf numFmtId="0" fontId="14" fillId="0" borderId="0" xfId="1" applyFont="1" applyAlignment="1">
      <alignment wrapText="1"/>
    </xf>
    <xf numFmtId="0" fontId="3" fillId="0" borderId="0" xfId="1" applyFont="1"/>
    <xf numFmtId="0" fontId="16" fillId="0" borderId="0" xfId="1" applyFont="1" applyBorder="1" applyAlignment="1">
      <alignment horizontal="center" wrapText="1"/>
    </xf>
    <xf numFmtId="0" fontId="3" fillId="0" borderId="0" xfId="1" applyFont="1" applyAlignment="1">
      <alignment wrapText="1"/>
    </xf>
    <xf numFmtId="0" fontId="17" fillId="0" borderId="0" xfId="1" applyFont="1" applyBorder="1" applyAlignment="1">
      <alignment horizontal="center"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0" xfId="1" applyFont="1" applyFill="1"/>
    <xf numFmtId="0" fontId="3" fillId="0" borderId="8" xfId="1" applyFont="1" applyBorder="1" applyAlignment="1">
      <alignment wrapText="1"/>
    </xf>
    <xf numFmtId="0" fontId="3" fillId="0" borderId="1" xfId="1" applyFont="1" applyBorder="1" applyAlignment="1">
      <alignment wrapText="1"/>
    </xf>
    <xf numFmtId="4" fontId="3" fillId="0" borderId="1" xfId="1" applyNumberFormat="1" applyFont="1" applyBorder="1" applyAlignment="1">
      <alignment wrapText="1"/>
    </xf>
    <xf numFmtId="4" fontId="3" fillId="0" borderId="9" xfId="1" applyNumberFormat="1" applyFont="1" applyBorder="1" applyAlignment="1">
      <alignment wrapText="1"/>
    </xf>
    <xf numFmtId="0" fontId="3" fillId="0" borderId="1" xfId="1" applyFont="1" applyBorder="1"/>
    <xf numFmtId="0" fontId="3" fillId="0" borderId="10" xfId="1" applyFont="1" applyBorder="1" applyAlignment="1">
      <alignment wrapText="1"/>
    </xf>
    <xf numFmtId="2" fontId="3" fillId="0" borderId="11" xfId="1" applyNumberFormat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1" xfId="1" applyFont="1" applyBorder="1" applyAlignment="1">
      <alignment wrapText="1"/>
    </xf>
    <xf numFmtId="4" fontId="3" fillId="0" borderId="13" xfId="1" applyNumberFormat="1" applyFont="1" applyBorder="1" applyAlignment="1">
      <alignment wrapText="1"/>
    </xf>
    <xf numFmtId="0" fontId="3" fillId="2" borderId="1" xfId="1" applyFont="1" applyFill="1" applyBorder="1"/>
    <xf numFmtId="4" fontId="3" fillId="0" borderId="0" xfId="1" applyNumberFormat="1" applyFont="1" applyAlignment="1">
      <alignment wrapText="1"/>
    </xf>
    <xf numFmtId="0" fontId="3" fillId="0" borderId="5" xfId="1" applyFont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3" fillId="0" borderId="16" xfId="1" applyFont="1" applyBorder="1" applyAlignment="1">
      <alignment wrapText="1"/>
    </xf>
    <xf numFmtId="0" fontId="10" fillId="0" borderId="0" xfId="1" applyFont="1"/>
    <xf numFmtId="0" fontId="18" fillId="0" borderId="0" xfId="1" applyFont="1" applyFill="1"/>
    <xf numFmtId="0" fontId="10" fillId="0" borderId="0" xfId="1" applyFont="1" applyFill="1"/>
    <xf numFmtId="0" fontId="10" fillId="0" borderId="1" xfId="1" applyFont="1" applyFill="1" applyBorder="1"/>
    <xf numFmtId="2" fontId="3" fillId="2" borderId="1" xfId="1" applyNumberFormat="1" applyFont="1" applyFill="1" applyBorder="1"/>
    <xf numFmtId="0" fontId="10" fillId="0" borderId="0" xfId="1" applyFont="1" applyFill="1" applyBorder="1"/>
    <xf numFmtId="0" fontId="3" fillId="0" borderId="0" xfId="1" applyFont="1" applyBorder="1"/>
    <xf numFmtId="0" fontId="10" fillId="0" borderId="0" xfId="1" applyFont="1" applyAlignment="1"/>
    <xf numFmtId="0" fontId="10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3" fillId="0" borderId="9" xfId="1" applyFont="1" applyBorder="1" applyAlignment="1">
      <alignment wrapText="1"/>
    </xf>
    <xf numFmtId="4" fontId="10" fillId="0" borderId="0" xfId="1" applyNumberFormat="1" applyAlignment="1">
      <alignment wrapText="1"/>
    </xf>
    <xf numFmtId="0" fontId="3" fillId="0" borderId="17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3" fillId="0" borderId="0" xfId="1" applyFont="1" applyBorder="1" applyAlignment="1">
      <alignment wrapText="1"/>
    </xf>
    <xf numFmtId="4" fontId="3" fillId="0" borderId="0" xfId="1" applyNumberFormat="1" applyFont="1" applyBorder="1" applyAlignment="1">
      <alignment wrapText="1"/>
    </xf>
    <xf numFmtId="0" fontId="10" fillId="0" borderId="0" xfId="1" applyBorder="1" applyAlignment="1">
      <alignment horizontal="center"/>
    </xf>
    <xf numFmtId="0" fontId="10" fillId="0" borderId="0" xfId="1" applyBorder="1"/>
    <xf numFmtId="0" fontId="3" fillId="0" borderId="8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10" fillId="0" borderId="19" xfId="1" applyBorder="1"/>
    <xf numFmtId="0" fontId="10" fillId="0" borderId="16" xfId="1" applyBorder="1" applyAlignment="1">
      <alignment wrapText="1"/>
    </xf>
    <xf numFmtId="0" fontId="10" fillId="0" borderId="11" xfId="1" applyBorder="1"/>
    <xf numFmtId="0" fontId="10" fillId="0" borderId="13" xfId="1" applyBorder="1"/>
    <xf numFmtId="0" fontId="10" fillId="0" borderId="0" xfId="1" applyBorder="1" applyAlignment="1">
      <alignment wrapText="1"/>
    </xf>
    <xf numFmtId="0" fontId="10" fillId="0" borderId="0" xfId="1" applyFill="1" applyBorder="1"/>
    <xf numFmtId="0" fontId="10" fillId="0" borderId="5" xfId="1" applyBorder="1" applyAlignment="1">
      <alignment wrapText="1"/>
    </xf>
    <xf numFmtId="0" fontId="10" fillId="0" borderId="6" xfId="1" applyBorder="1" applyAlignment="1">
      <alignment wrapText="1"/>
    </xf>
    <xf numFmtId="0" fontId="10" fillId="0" borderId="7" xfId="1" applyBorder="1" applyAlignment="1">
      <alignment wrapText="1"/>
    </xf>
    <xf numFmtId="0" fontId="10" fillId="0" borderId="9" xfId="1" applyBorder="1"/>
    <xf numFmtId="0" fontId="20" fillId="0" borderId="0" xfId="1" applyFont="1"/>
    <xf numFmtId="0" fontId="2" fillId="0" borderId="0" xfId="1" applyFont="1"/>
    <xf numFmtId="0" fontId="19" fillId="0" borderId="0" xfId="1" applyFont="1"/>
    <xf numFmtId="0" fontId="9" fillId="0" borderId="1" xfId="1" applyFont="1" applyBorder="1" applyAlignment="1">
      <alignment wrapText="1"/>
    </xf>
    <xf numFmtId="0" fontId="10" fillId="0" borderId="1" xfId="1" applyBorder="1" applyAlignment="1">
      <alignment wrapText="1"/>
    </xf>
    <xf numFmtId="0" fontId="7" fillId="0" borderId="1" xfId="1" applyFont="1" applyBorder="1" applyAlignment="1">
      <alignment horizontal="left" wrapText="1"/>
    </xf>
    <xf numFmtId="0" fontId="1" fillId="0" borderId="1" xfId="1" applyFont="1" applyBorder="1"/>
    <xf numFmtId="0" fontId="8" fillId="0" borderId="1" xfId="1" applyFont="1" applyBorder="1"/>
    <xf numFmtId="0" fontId="8" fillId="0" borderId="0" xfId="1" applyFont="1" applyBorder="1"/>
    <xf numFmtId="0" fontId="14" fillId="0" borderId="0" xfId="1" applyFont="1" applyAlignment="1">
      <alignment horizontal="center"/>
    </xf>
    <xf numFmtId="2" fontId="10" fillId="0" borderId="0" xfId="1" applyNumberFormat="1"/>
    <xf numFmtId="0" fontId="3" fillId="3" borderId="8" xfId="1" applyFont="1" applyFill="1" applyBorder="1" applyAlignment="1">
      <alignment vertical="top" wrapText="1"/>
    </xf>
    <xf numFmtId="0" fontId="21" fillId="0" borderId="0" xfId="1" applyFont="1" applyAlignment="1">
      <alignment wrapText="1"/>
    </xf>
    <xf numFmtId="0" fontId="21" fillId="0" borderId="5" xfId="1" applyFont="1" applyBorder="1" applyAlignment="1">
      <alignment wrapText="1"/>
    </xf>
    <xf numFmtId="0" fontId="3" fillId="0" borderId="16" xfId="1" applyFont="1" applyBorder="1"/>
    <xf numFmtId="0" fontId="14" fillId="0" borderId="1" xfId="1" applyFont="1" applyBorder="1" applyAlignment="1">
      <alignment horizontal="center" wrapText="1"/>
    </xf>
    <xf numFmtId="0" fontId="10" fillId="2" borderId="0" xfId="1" applyFont="1" applyFill="1"/>
    <xf numFmtId="0" fontId="10" fillId="4" borderId="0" xfId="1" applyFont="1" applyFill="1"/>
    <xf numFmtId="0" fontId="10" fillId="3" borderId="0" xfId="1" applyFont="1" applyFill="1"/>
    <xf numFmtId="0" fontId="10" fillId="5" borderId="0" xfId="1" applyFont="1" applyFill="1"/>
    <xf numFmtId="0" fontId="10" fillId="6" borderId="0" xfId="1" applyFont="1" applyFill="1"/>
    <xf numFmtId="0" fontId="10" fillId="0" borderId="0" xfId="1" applyFont="1" applyProtection="1">
      <protection locked="0"/>
    </xf>
    <xf numFmtId="0" fontId="21" fillId="0" borderId="6" xfId="1" applyFont="1" applyBorder="1" applyAlignment="1">
      <alignment horizontal="center" wrapText="1"/>
    </xf>
    <xf numFmtId="0" fontId="10" fillId="0" borderId="1" xfId="1" applyFont="1" applyBorder="1" applyAlignment="1">
      <alignment horizontal="right"/>
    </xf>
    <xf numFmtId="0" fontId="10" fillId="0" borderId="5" xfId="1" applyFont="1" applyBorder="1" applyAlignment="1">
      <alignment wrapText="1"/>
    </xf>
    <xf numFmtId="0" fontId="3" fillId="0" borderId="6" xfId="1" applyFont="1" applyBorder="1"/>
    <xf numFmtId="0" fontId="10" fillId="0" borderId="0" xfId="1" applyFont="1" applyAlignment="1">
      <alignment wrapText="1"/>
    </xf>
    <xf numFmtId="0" fontId="1" fillId="0" borderId="20" xfId="2" applyFont="1" applyBorder="1" applyAlignment="1">
      <alignment wrapText="1"/>
    </xf>
    <xf numFmtId="10" fontId="10" fillId="0" borderId="1" xfId="1" applyNumberFormat="1" applyBorder="1"/>
    <xf numFmtId="4" fontId="10" fillId="0" borderId="9" xfId="1" applyNumberFormat="1" applyBorder="1"/>
    <xf numFmtId="0" fontId="1" fillId="0" borderId="8" xfId="2" applyFont="1" applyBorder="1" applyAlignment="1">
      <alignment wrapText="1"/>
    </xf>
    <xf numFmtId="0" fontId="1" fillId="0" borderId="8" xfId="2" applyFont="1" applyBorder="1"/>
    <xf numFmtId="0" fontId="1" fillId="0" borderId="16" xfId="2" applyFont="1" applyBorder="1"/>
    <xf numFmtId="0" fontId="17" fillId="0" borderId="0" xfId="1" applyFont="1" applyBorder="1" applyAlignment="1">
      <alignment wrapText="1"/>
    </xf>
    <xf numFmtId="0" fontId="15" fillId="0" borderId="0" xfId="1" applyFont="1" applyBorder="1" applyAlignment="1">
      <alignment wrapText="1"/>
    </xf>
    <xf numFmtId="0" fontId="10" fillId="0" borderId="0" xfId="1" applyFont="1" applyBorder="1"/>
    <xf numFmtId="0" fontId="10" fillId="0" borderId="21" xfId="1" applyFont="1" applyBorder="1"/>
    <xf numFmtId="0" fontId="10" fillId="0" borderId="21" xfId="1" applyFont="1" applyBorder="1" applyAlignment="1"/>
    <xf numFmtId="4" fontId="10" fillId="0" borderId="1" xfId="1" applyNumberFormat="1" applyFill="1" applyBorder="1"/>
    <xf numFmtId="4" fontId="10" fillId="0" borderId="11" xfId="1" applyNumberFormat="1" applyFill="1" applyBorder="1"/>
    <xf numFmtId="4" fontId="10" fillId="0" borderId="13" xfId="1" applyNumberFormat="1" applyBorder="1"/>
    <xf numFmtId="4" fontId="10" fillId="3" borderId="9" xfId="1" applyNumberFormat="1" applyFill="1" applyBorder="1"/>
    <xf numFmtId="0" fontId="24" fillId="0" borderId="8" xfId="1" applyFont="1" applyBorder="1" applyAlignment="1">
      <alignment wrapText="1"/>
    </xf>
    <xf numFmtId="0" fontId="10" fillId="0" borderId="22" xfId="1" applyBorder="1"/>
    <xf numFmtId="4" fontId="10" fillId="3" borderId="23" xfId="1" applyNumberFormat="1" applyFill="1" applyBorder="1"/>
    <xf numFmtId="0" fontId="3" fillId="0" borderId="1" xfId="1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10" fillId="0" borderId="0" xfId="1" applyNumberFormat="1" applyFont="1" applyFill="1"/>
    <xf numFmtId="0" fontId="3" fillId="0" borderId="1" xfId="1" applyNumberFormat="1" applyFont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wrapText="1"/>
    </xf>
    <xf numFmtId="0" fontId="3" fillId="0" borderId="0" xfId="1" applyNumberFormat="1" applyFont="1" applyFill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vertical="top" wrapText="1"/>
    </xf>
    <xf numFmtId="0" fontId="3" fillId="0" borderId="1" xfId="1" applyNumberFormat="1" applyFont="1" applyBorder="1" applyAlignment="1">
      <alignment vertical="top" wrapText="1"/>
    </xf>
    <xf numFmtId="0" fontId="10" fillId="0" borderId="0" xfId="1" applyNumberFormat="1" applyFont="1"/>
    <xf numFmtId="0" fontId="10" fillId="0" borderId="0" xfId="1" applyNumberFormat="1" applyFont="1" applyAlignment="1">
      <alignment horizontal="center"/>
    </xf>
    <xf numFmtId="0" fontId="10" fillId="0" borderId="0" xfId="1" applyNumberFormat="1" applyAlignment="1"/>
    <xf numFmtId="0" fontId="10" fillId="0" borderId="21" xfId="1" applyNumberFormat="1" applyFont="1" applyBorder="1"/>
    <xf numFmtId="0" fontId="10" fillId="0" borderId="0" xfId="1" applyNumberFormat="1"/>
    <xf numFmtId="0" fontId="27" fillId="0" borderId="0" xfId="1" applyFont="1" applyBorder="1" applyAlignment="1">
      <alignment horizontal="center" wrapText="1"/>
    </xf>
    <xf numFmtId="0" fontId="6" fillId="0" borderId="1" xfId="1" applyFont="1" applyBorder="1" applyAlignment="1">
      <alignment vertical="top" wrapText="1"/>
    </xf>
    <xf numFmtId="0" fontId="6" fillId="0" borderId="1" xfId="1" applyNumberFormat="1" applyFont="1" applyBorder="1" applyAlignment="1">
      <alignment vertical="top" wrapText="1"/>
    </xf>
    <xf numFmtId="0" fontId="6" fillId="0" borderId="1" xfId="1" applyNumberFormat="1" applyFont="1" applyBorder="1" applyAlignment="1">
      <alignment wrapText="1"/>
    </xf>
    <xf numFmtId="0" fontId="6" fillId="0" borderId="1" xfId="1" applyNumberFormat="1" applyFont="1" applyFill="1" applyBorder="1" applyAlignment="1">
      <alignment wrapText="1"/>
    </xf>
    <xf numFmtId="0" fontId="6" fillId="2" borderId="1" xfId="1" applyNumberFormat="1" applyFont="1" applyFill="1" applyBorder="1" applyAlignment="1">
      <alignment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vertical="top" wrapText="1"/>
    </xf>
    <xf numFmtId="0" fontId="3" fillId="0" borderId="1" xfId="1" applyNumberFormat="1" applyFont="1" applyBorder="1" applyAlignment="1">
      <alignment wrapText="1"/>
    </xf>
    <xf numFmtId="0" fontId="3" fillId="2" borderId="1" xfId="1" applyNumberFormat="1" applyFont="1" applyFill="1" applyBorder="1" applyAlignment="1">
      <alignment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4" borderId="1" xfId="1" applyNumberFormat="1" applyFont="1" applyFill="1" applyBorder="1" applyAlignment="1">
      <alignment vertical="top" wrapText="1"/>
    </xf>
    <xf numFmtId="0" fontId="3" fillId="3" borderId="1" xfId="1" applyNumberFormat="1" applyFont="1" applyFill="1" applyBorder="1" applyAlignment="1">
      <alignment vertical="top" wrapText="1"/>
    </xf>
    <xf numFmtId="0" fontId="3" fillId="6" borderId="1" xfId="1" applyNumberFormat="1" applyFont="1" applyFill="1" applyBorder="1" applyAlignment="1">
      <alignment vertical="top" wrapText="1"/>
    </xf>
    <xf numFmtId="0" fontId="3" fillId="6" borderId="1" xfId="1" applyNumberFormat="1" applyFont="1" applyFill="1" applyBorder="1" applyAlignment="1">
      <alignment horizontal="center" vertical="top" wrapText="1"/>
    </xf>
    <xf numFmtId="0" fontId="3" fillId="7" borderId="1" xfId="1" applyNumberFormat="1" applyFont="1" applyFill="1" applyBorder="1" applyAlignment="1">
      <alignment vertical="top" wrapText="1"/>
    </xf>
    <xf numFmtId="0" fontId="3" fillId="7" borderId="1" xfId="1" applyNumberFormat="1" applyFont="1" applyFill="1" applyBorder="1" applyAlignment="1">
      <alignment horizontal="center" vertical="top" wrapText="1"/>
    </xf>
    <xf numFmtId="0" fontId="10" fillId="0" borderId="1" xfId="1" applyNumberFormat="1" applyFont="1" applyBorder="1"/>
    <xf numFmtId="0" fontId="22" fillId="0" borderId="1" xfId="1" applyNumberFormat="1" applyFont="1" applyFill="1" applyBorder="1" applyAlignment="1">
      <alignment vertical="top" wrapText="1"/>
    </xf>
    <xf numFmtId="0" fontId="10" fillId="0" borderId="1" xfId="1" applyFont="1" applyBorder="1"/>
    <xf numFmtId="0" fontId="6" fillId="7" borderId="1" xfId="1" applyNumberFormat="1" applyFont="1" applyFill="1" applyBorder="1" applyAlignment="1">
      <alignment wrapText="1"/>
    </xf>
    <xf numFmtId="4" fontId="3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horizontal="center" vertical="top"/>
    </xf>
    <xf numFmtId="4" fontId="3" fillId="7" borderId="1" xfId="1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top"/>
    </xf>
    <xf numFmtId="4" fontId="3" fillId="2" borderId="1" xfId="1" applyNumberFormat="1" applyFont="1" applyFill="1" applyBorder="1" applyAlignment="1">
      <alignment horizontal="center" vertical="top"/>
    </xf>
    <xf numFmtId="4" fontId="3" fillId="4" borderId="1" xfId="1" applyNumberFormat="1" applyFont="1" applyFill="1" applyBorder="1" applyAlignment="1">
      <alignment horizontal="center" vertical="top" wrapText="1"/>
    </xf>
    <xf numFmtId="4" fontId="3" fillId="3" borderId="1" xfId="1" applyNumberFormat="1" applyFont="1" applyFill="1" applyBorder="1" applyAlignment="1">
      <alignment horizontal="center" vertical="top" wrapText="1"/>
    </xf>
    <xf numFmtId="4" fontId="3" fillId="6" borderId="1" xfId="1" applyNumberFormat="1" applyFont="1" applyFill="1" applyBorder="1" applyAlignment="1">
      <alignment horizontal="center" vertical="top" wrapText="1"/>
    </xf>
    <xf numFmtId="4" fontId="22" fillId="0" borderId="1" xfId="1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10" fillId="0" borderId="0" xfId="1" applyNumberFormat="1" applyFont="1" applyBorder="1"/>
    <xf numFmtId="0" fontId="35" fillId="0" borderId="1" xfId="1" applyFont="1" applyBorder="1"/>
    <xf numFmtId="0" fontId="10" fillId="9" borderId="24" xfId="1" applyFill="1" applyBorder="1" applyAlignment="1">
      <alignment wrapText="1"/>
    </xf>
    <xf numFmtId="0" fontId="10" fillId="9" borderId="25" xfId="1" applyFill="1" applyBorder="1" applyAlignment="1">
      <alignment wrapText="1"/>
    </xf>
    <xf numFmtId="0" fontId="3" fillId="9" borderId="25" xfId="1" applyFont="1" applyFill="1" applyBorder="1" applyAlignment="1">
      <alignment wrapText="1"/>
    </xf>
    <xf numFmtId="0" fontId="10" fillId="9" borderId="26" xfId="1" applyFill="1" applyBorder="1" applyAlignment="1">
      <alignment wrapText="1"/>
    </xf>
    <xf numFmtId="0" fontId="10" fillId="9" borderId="0" xfId="1" applyFill="1" applyAlignment="1">
      <alignment wrapText="1"/>
    </xf>
    <xf numFmtId="0" fontId="3" fillId="9" borderId="8" xfId="1" applyFont="1" applyFill="1" applyBorder="1" applyAlignment="1">
      <alignment wrapText="1"/>
    </xf>
    <xf numFmtId="0" fontId="10" fillId="9" borderId="1" xfId="1" applyFill="1" applyBorder="1"/>
    <xf numFmtId="0" fontId="10" fillId="9" borderId="0" xfId="1" applyFill="1"/>
    <xf numFmtId="0" fontId="3" fillId="9" borderId="18" xfId="1" applyFont="1" applyFill="1" applyBorder="1" applyAlignment="1">
      <alignment wrapText="1"/>
    </xf>
    <xf numFmtId="0" fontId="10" fillId="9" borderId="1" xfId="1" applyFill="1" applyBorder="1" applyAlignment="1">
      <alignment horizontal="right" wrapText="1"/>
    </xf>
    <xf numFmtId="0" fontId="10" fillId="9" borderId="1" xfId="1" applyFill="1" applyBorder="1" applyAlignment="1">
      <alignment horizontal="right"/>
    </xf>
    <xf numFmtId="0" fontId="3" fillId="9" borderId="17" xfId="1" applyFont="1" applyFill="1" applyBorder="1" applyAlignment="1">
      <alignment vertical="center" wrapText="1"/>
    </xf>
    <xf numFmtId="0" fontId="10" fillId="9" borderId="19" xfId="1" applyFill="1" applyBorder="1"/>
    <xf numFmtId="0" fontId="24" fillId="9" borderId="5" xfId="1" applyFont="1" applyFill="1" applyBorder="1" applyAlignment="1">
      <alignment vertical="center" wrapText="1"/>
    </xf>
    <xf numFmtId="0" fontId="10" fillId="9" borderId="6" xfId="1" applyFill="1" applyBorder="1"/>
    <xf numFmtId="0" fontId="3" fillId="9" borderId="8" xfId="1" applyFont="1" applyFill="1" applyBorder="1" applyAlignment="1">
      <alignment vertical="center" wrapText="1"/>
    </xf>
    <xf numFmtId="0" fontId="10" fillId="9" borderId="5" xfId="1" applyFill="1" applyBorder="1" applyAlignment="1">
      <alignment wrapText="1"/>
    </xf>
    <xf numFmtId="0" fontId="10" fillId="9" borderId="6" xfId="1" applyFill="1" applyBorder="1" applyAlignment="1">
      <alignment wrapText="1"/>
    </xf>
    <xf numFmtId="0" fontId="3" fillId="9" borderId="6" xfId="1" applyFont="1" applyFill="1" applyBorder="1" applyAlignment="1">
      <alignment wrapText="1"/>
    </xf>
    <xf numFmtId="0" fontId="10" fillId="9" borderId="7" xfId="1" applyFill="1" applyBorder="1" applyAlignment="1">
      <alignment wrapText="1"/>
    </xf>
    <xf numFmtId="0" fontId="3" fillId="9" borderId="16" xfId="1" applyFont="1" applyFill="1" applyBorder="1" applyAlignment="1">
      <alignment wrapText="1"/>
    </xf>
    <xf numFmtId="0" fontId="10" fillId="9" borderId="11" xfId="1" applyFill="1" applyBorder="1"/>
    <xf numFmtId="0" fontId="10" fillId="9" borderId="13" xfId="1" applyFill="1" applyBorder="1"/>
    <xf numFmtId="4" fontId="10" fillId="0" borderId="1" xfId="1" applyNumberFormat="1" applyFont="1" applyBorder="1" applyAlignment="1">
      <alignment horizontal="center" wrapText="1"/>
    </xf>
    <xf numFmtId="0" fontId="10" fillId="9" borderId="1" xfId="1" applyFont="1" applyFill="1" applyBorder="1"/>
    <xf numFmtId="0" fontId="3" fillId="9" borderId="1" xfId="1" applyNumberFormat="1" applyFont="1" applyFill="1" applyBorder="1" applyAlignment="1">
      <alignment horizontal="center" vertical="top" wrapText="1"/>
    </xf>
    <xf numFmtId="4" fontId="3" fillId="9" borderId="1" xfId="1" applyNumberFormat="1" applyFont="1" applyFill="1" applyBorder="1" applyAlignment="1">
      <alignment horizontal="center" vertical="top" wrapText="1"/>
    </xf>
    <xf numFmtId="4" fontId="10" fillId="10" borderId="0" xfId="1" applyNumberFormat="1" applyFill="1"/>
    <xf numFmtId="0" fontId="30" fillId="0" borderId="8" xfId="1" applyFont="1" applyBorder="1" applyAlignment="1">
      <alignment wrapText="1"/>
    </xf>
    <xf numFmtId="0" fontId="36" fillId="0" borderId="1" xfId="1" applyFont="1" applyBorder="1"/>
    <xf numFmtId="0" fontId="10" fillId="0" borderId="0" xfId="1" applyAlignment="1">
      <alignment horizontal="center"/>
    </xf>
    <xf numFmtId="164" fontId="10" fillId="0" borderId="0" xfId="3" applyFont="1"/>
    <xf numFmtId="164" fontId="10" fillId="0" borderId="0" xfId="3" applyFont="1" applyBorder="1" applyAlignment="1">
      <alignment horizontal="center"/>
    </xf>
    <xf numFmtId="164" fontId="10" fillId="9" borderId="25" xfId="3" applyFont="1" applyFill="1" applyBorder="1" applyAlignment="1">
      <alignment wrapText="1"/>
    </xf>
    <xf numFmtId="164" fontId="10" fillId="9" borderId="1" xfId="3" applyFont="1" applyFill="1" applyBorder="1"/>
    <xf numFmtId="164" fontId="10" fillId="9" borderId="1" xfId="3" applyFont="1" applyFill="1" applyBorder="1" applyAlignment="1">
      <alignment horizontal="right" wrapText="1"/>
    </xf>
    <xf numFmtId="164" fontId="36" fillId="9" borderId="1" xfId="3" applyFont="1" applyFill="1" applyBorder="1" applyAlignment="1">
      <alignment horizontal="right" wrapText="1"/>
    </xf>
    <xf numFmtId="164" fontId="10" fillId="9" borderId="6" xfId="3" applyFont="1" applyFill="1" applyBorder="1"/>
    <xf numFmtId="164" fontId="10" fillId="9" borderId="19" xfId="3" applyFont="1" applyFill="1" applyBorder="1"/>
    <xf numFmtId="164" fontId="10" fillId="0" borderId="22" xfId="3" applyFont="1" applyBorder="1"/>
    <xf numFmtId="164" fontId="10" fillId="0" borderId="1" xfId="3" applyFont="1" applyBorder="1"/>
    <xf numFmtId="164" fontId="10" fillId="0" borderId="11" xfId="3" applyFont="1" applyBorder="1"/>
    <xf numFmtId="164" fontId="10" fillId="0" borderId="0" xfId="3" applyFont="1" applyBorder="1"/>
    <xf numFmtId="164" fontId="10" fillId="9" borderId="0" xfId="3" applyFont="1" applyFill="1"/>
    <xf numFmtId="164" fontId="10" fillId="9" borderId="6" xfId="3" applyFont="1" applyFill="1" applyBorder="1" applyAlignment="1">
      <alignment wrapText="1"/>
    </xf>
    <xf numFmtId="164" fontId="10" fillId="9" borderId="11" xfId="3" applyFont="1" applyFill="1" applyBorder="1"/>
    <xf numFmtId="164" fontId="2" fillId="0" borderId="0" xfId="3" applyFont="1"/>
    <xf numFmtId="164" fontId="10" fillId="0" borderId="1" xfId="3" applyFont="1" applyBorder="1" applyAlignment="1">
      <alignment wrapText="1"/>
    </xf>
    <xf numFmtId="164" fontId="1" fillId="0" borderId="1" xfId="3" applyFont="1" applyBorder="1"/>
    <xf numFmtId="164" fontId="8" fillId="0" borderId="1" xfId="3" applyFont="1" applyBorder="1"/>
    <xf numFmtId="164" fontId="8" fillId="0" borderId="0" xfId="3" applyFont="1" applyBorder="1"/>
    <xf numFmtId="164" fontId="10" fillId="0" borderId="6" xfId="3" applyFont="1" applyBorder="1" applyAlignment="1">
      <alignment wrapText="1"/>
    </xf>
    <xf numFmtId="164" fontId="36" fillId="0" borderId="1" xfId="3" applyFont="1" applyBorder="1"/>
    <xf numFmtId="164" fontId="10" fillId="0" borderId="19" xfId="3" applyFont="1" applyBorder="1"/>
    <xf numFmtId="164" fontId="10" fillId="0" borderId="21" xfId="3" applyFont="1" applyBorder="1"/>
    <xf numFmtId="0" fontId="10" fillId="9" borderId="0" xfId="1" applyFont="1" applyFill="1"/>
    <xf numFmtId="4" fontId="12" fillId="3" borderId="9" xfId="1" applyNumberFormat="1" applyFont="1" applyFill="1" applyBorder="1" applyAlignment="1">
      <alignment horizontal="center"/>
    </xf>
    <xf numFmtId="4" fontId="10" fillId="3" borderId="9" xfId="1" applyNumberFormat="1" applyFill="1" applyBorder="1" applyAlignment="1">
      <alignment horizontal="center"/>
    </xf>
    <xf numFmtId="4" fontId="36" fillId="3" borderId="9" xfId="1" applyNumberFormat="1" applyFont="1" applyFill="1" applyBorder="1" applyAlignment="1">
      <alignment horizontal="center"/>
    </xf>
    <xf numFmtId="4" fontId="10" fillId="0" borderId="9" xfId="1" applyNumberFormat="1" applyBorder="1" applyAlignment="1">
      <alignment horizontal="center"/>
    </xf>
    <xf numFmtId="4" fontId="10" fillId="0" borderId="13" xfId="1" applyNumberFormat="1" applyBorder="1" applyAlignment="1">
      <alignment horizontal="center"/>
    </xf>
    <xf numFmtId="4" fontId="3" fillId="0" borderId="1" xfId="1" applyNumberFormat="1" applyFont="1" applyFill="1" applyBorder="1" applyAlignment="1">
      <alignment wrapText="1"/>
    </xf>
    <xf numFmtId="4" fontId="3" fillId="0" borderId="9" xfId="1" applyNumberFormat="1" applyFont="1" applyFill="1" applyBorder="1" applyAlignment="1">
      <alignment wrapText="1"/>
    </xf>
    <xf numFmtId="4" fontId="3" fillId="0" borderId="11" xfId="1" applyNumberFormat="1" applyFont="1" applyFill="1" applyBorder="1" applyAlignment="1">
      <alignment wrapText="1"/>
    </xf>
    <xf numFmtId="4" fontId="3" fillId="0" borderId="13" xfId="1" applyNumberFormat="1" applyFont="1" applyFill="1" applyBorder="1" applyAlignment="1">
      <alignment wrapText="1"/>
    </xf>
    <xf numFmtId="4" fontId="3" fillId="0" borderId="14" xfId="1" applyNumberFormat="1" applyFont="1" applyFill="1" applyBorder="1" applyAlignment="1">
      <alignment wrapText="1"/>
    </xf>
    <xf numFmtId="4" fontId="3" fillId="0" borderId="15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4" fontId="10" fillId="0" borderId="0" xfId="1" applyNumberFormat="1" applyFont="1" applyFill="1"/>
    <xf numFmtId="0" fontId="3" fillId="0" borderId="1" xfId="1" applyFont="1" applyBorder="1" applyAlignment="1">
      <alignment horizontal="center" wrapText="1"/>
    </xf>
    <xf numFmtId="4" fontId="10" fillId="3" borderId="1" xfId="1" applyNumberFormat="1" applyFont="1" applyFill="1" applyBorder="1" applyAlignment="1">
      <alignment horizontal="center"/>
    </xf>
    <xf numFmtId="0" fontId="21" fillId="0" borderId="6" xfId="1" applyFont="1" applyBorder="1" applyAlignment="1">
      <alignment wrapText="1"/>
    </xf>
    <xf numFmtId="4" fontId="10" fillId="0" borderId="9" xfId="1" applyNumberFormat="1" applyFill="1" applyBorder="1" applyAlignment="1">
      <alignment horizontal="right"/>
    </xf>
    <xf numFmtId="2" fontId="1" fillId="0" borderId="1" xfId="1" applyNumberFormat="1" applyFont="1" applyBorder="1"/>
    <xf numFmtId="0" fontId="10" fillId="11" borderId="1" xfId="1" applyFill="1" applyBorder="1"/>
    <xf numFmtId="14" fontId="3" fillId="0" borderId="1" xfId="1" applyNumberFormat="1" applyFont="1" applyBorder="1" applyAlignment="1">
      <alignment wrapText="1"/>
    </xf>
    <xf numFmtId="14" fontId="3" fillId="0" borderId="1" xfId="1" applyNumberFormat="1" applyFont="1" applyBorder="1"/>
    <xf numFmtId="0" fontId="10" fillId="0" borderId="32" xfId="1" applyFont="1" applyFill="1" applyBorder="1"/>
    <xf numFmtId="0" fontId="10" fillId="0" borderId="4" xfId="1" applyFont="1" applyFill="1" applyBorder="1"/>
    <xf numFmtId="4" fontId="3" fillId="0" borderId="40" xfId="1" applyNumberFormat="1" applyFont="1" applyBorder="1" applyAlignment="1">
      <alignment wrapText="1"/>
    </xf>
    <xf numFmtId="4" fontId="3" fillId="0" borderId="41" xfId="1" applyNumberFormat="1" applyFont="1" applyBorder="1" applyAlignment="1">
      <alignment wrapText="1"/>
    </xf>
    <xf numFmtId="0" fontId="3" fillId="0" borderId="8" xfId="1" applyFont="1" applyFill="1" applyBorder="1"/>
    <xf numFmtId="4" fontId="10" fillId="0" borderId="1" xfId="1" applyNumberFormat="1" applyFont="1" applyFill="1" applyBorder="1" applyAlignment="1">
      <alignment horizontal="center"/>
    </xf>
    <xf numFmtId="4" fontId="34" fillId="0" borderId="3" xfId="0" applyNumberFormat="1" applyFont="1" applyBorder="1" applyAlignment="1">
      <alignment wrapText="1"/>
    </xf>
    <xf numFmtId="4" fontId="10" fillId="0" borderId="9" xfId="1" applyNumberFormat="1" applyFill="1" applyBorder="1"/>
    <xf numFmtId="0" fontId="29" fillId="0" borderId="0" xfId="0" applyFont="1" applyFill="1"/>
    <xf numFmtId="165" fontId="10" fillId="0" borderId="1" xfId="1" applyNumberFormat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164" fontId="10" fillId="9" borderId="1" xfId="3" applyFont="1" applyFill="1" applyBorder="1" applyProtection="1">
      <protection locked="0"/>
    </xf>
    <xf numFmtId="4" fontId="10" fillId="9" borderId="0" xfId="1" applyNumberFormat="1" applyFill="1"/>
    <xf numFmtId="164" fontId="10" fillId="9" borderId="22" xfId="3" applyFont="1" applyFill="1" applyBorder="1"/>
    <xf numFmtId="0" fontId="10" fillId="9" borderId="22" xfId="1" applyFill="1" applyBorder="1"/>
    <xf numFmtId="0" fontId="3" fillId="9" borderId="28" xfId="1" applyFont="1" applyFill="1" applyBorder="1" applyAlignment="1">
      <alignment vertical="center" wrapText="1"/>
    </xf>
    <xf numFmtId="164" fontId="10" fillId="9" borderId="29" xfId="3" applyFont="1" applyFill="1" applyBorder="1"/>
    <xf numFmtId="0" fontId="10" fillId="9" borderId="29" xfId="1" applyFill="1" applyBorder="1"/>
    <xf numFmtId="4" fontId="10" fillId="9" borderId="1" xfId="1" applyNumberFormat="1" applyFill="1" applyBorder="1"/>
    <xf numFmtId="4" fontId="10" fillId="0" borderId="23" xfId="1" applyNumberFormat="1" applyFill="1" applyBorder="1"/>
    <xf numFmtId="4" fontId="12" fillId="0" borderId="7" xfId="1" applyNumberFormat="1" applyFont="1" applyFill="1" applyBorder="1"/>
    <xf numFmtId="4" fontId="10" fillId="0" borderId="27" xfId="1" applyNumberFormat="1" applyFill="1" applyBorder="1"/>
    <xf numFmtId="4" fontId="10" fillId="0" borderId="30" xfId="1" applyNumberFormat="1" applyFill="1" applyBorder="1"/>
    <xf numFmtId="164" fontId="10" fillId="9" borderId="0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right"/>
    </xf>
    <xf numFmtId="0" fontId="10" fillId="0" borderId="0" xfId="1" applyFill="1"/>
    <xf numFmtId="0" fontId="3" fillId="0" borderId="1" xfId="1" applyFont="1" applyFill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/>
    </xf>
    <xf numFmtId="4" fontId="10" fillId="0" borderId="0" xfId="1" applyNumberFormat="1" applyFill="1" applyBorder="1"/>
    <xf numFmtId="164" fontId="10" fillId="0" borderId="0" xfId="3" applyFont="1" applyFill="1" applyBorder="1" applyAlignment="1">
      <alignment horizontal="center"/>
    </xf>
    <xf numFmtId="164" fontId="10" fillId="0" borderId="0" xfId="3" applyFont="1" applyFill="1" applyBorder="1"/>
    <xf numFmtId="2" fontId="10" fillId="0" borderId="0" xfId="1" applyNumberFormat="1" applyFill="1" applyBorder="1"/>
    <xf numFmtId="0" fontId="3" fillId="0" borderId="16" xfId="1" applyFont="1" applyFill="1" applyBorder="1" applyAlignment="1">
      <alignment wrapText="1"/>
    </xf>
    <xf numFmtId="0" fontId="3" fillId="0" borderId="11" xfId="1" applyFont="1" applyFill="1" applyBorder="1" applyAlignment="1">
      <alignment horizontal="center"/>
    </xf>
    <xf numFmtId="2" fontId="10" fillId="0" borderId="11" xfId="1" applyNumberFormat="1" applyFill="1" applyBorder="1" applyAlignment="1">
      <alignment horizontal="center"/>
    </xf>
    <xf numFmtId="0" fontId="10" fillId="0" borderId="11" xfId="1" applyFill="1" applyBorder="1" applyAlignment="1">
      <alignment horizontal="center"/>
    </xf>
    <xf numFmtId="0" fontId="10" fillId="0" borderId="11" xfId="1" applyFont="1" applyFill="1" applyBorder="1" applyAlignment="1">
      <alignment horizontal="right"/>
    </xf>
    <xf numFmtId="4" fontId="10" fillId="0" borderId="11" xfId="1" applyNumberFormat="1" applyFont="1" applyFill="1" applyBorder="1" applyAlignment="1">
      <alignment horizontal="center"/>
    </xf>
    <xf numFmtId="4" fontId="10" fillId="0" borderId="13" xfId="1" applyNumberFormat="1" applyFill="1" applyBorder="1" applyAlignment="1">
      <alignment horizontal="right"/>
    </xf>
    <xf numFmtId="164" fontId="10" fillId="9" borderId="9" xfId="3" applyFont="1" applyFill="1" applyBorder="1" applyAlignment="1">
      <alignment horizontal="left" vertical="center"/>
    </xf>
    <xf numFmtId="164" fontId="10" fillId="9" borderId="38" xfId="3" applyFont="1" applyFill="1" applyBorder="1" applyAlignment="1">
      <alignment horizontal="left" vertical="center"/>
    </xf>
    <xf numFmtId="164" fontId="12" fillId="9" borderId="9" xfId="3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top" wrapText="1"/>
    </xf>
    <xf numFmtId="0" fontId="3" fillId="8" borderId="8" xfId="1" applyFont="1" applyFill="1" applyBorder="1" applyAlignment="1">
      <alignment wrapText="1"/>
    </xf>
    <xf numFmtId="0" fontId="3" fillId="8" borderId="16" xfId="1" applyFont="1" applyFill="1" applyBorder="1" applyAlignment="1">
      <alignment wrapText="1"/>
    </xf>
    <xf numFmtId="0" fontId="39" fillId="0" borderId="0" xfId="1" applyFont="1" applyBorder="1" applyAlignment="1">
      <alignment horizontal="center" wrapText="1"/>
    </xf>
    <xf numFmtId="0" fontId="39" fillId="0" borderId="0" xfId="1" applyFont="1" applyFill="1" applyBorder="1" applyAlignment="1">
      <alignment horizontal="center" wrapText="1"/>
    </xf>
    <xf numFmtId="0" fontId="6" fillId="0" borderId="16" xfId="1" applyFont="1" applyBorder="1" applyAlignment="1">
      <alignment wrapText="1"/>
    </xf>
    <xf numFmtId="4" fontId="3" fillId="0" borderId="1" xfId="1" applyNumberFormat="1" applyFont="1" applyFill="1" applyBorder="1" applyAlignment="1">
      <alignment horizontal="center" vertical="top" wrapText="1"/>
    </xf>
    <xf numFmtId="0" fontId="10" fillId="0" borderId="0" xfId="1" applyAlignment="1">
      <alignment horizontal="center"/>
    </xf>
    <xf numFmtId="4" fontId="3" fillId="0" borderId="1" xfId="1" applyNumberFormat="1" applyFont="1" applyBorder="1" applyAlignment="1">
      <alignment wrapText="1"/>
    </xf>
    <xf numFmtId="0" fontId="3" fillId="9" borderId="1" xfId="1" applyNumberFormat="1" applyFont="1" applyFill="1" applyBorder="1" applyAlignment="1">
      <alignment wrapText="1"/>
    </xf>
    <xf numFmtId="0" fontId="3" fillId="9" borderId="1" xfId="1" applyNumberFormat="1" applyFont="1" applyFill="1" applyBorder="1" applyAlignment="1">
      <alignment vertical="top" wrapText="1"/>
    </xf>
    <xf numFmtId="4" fontId="3" fillId="0" borderId="12" xfId="1" applyNumberFormat="1" applyFont="1" applyBorder="1" applyAlignment="1">
      <alignment wrapText="1"/>
    </xf>
    <xf numFmtId="4" fontId="3" fillId="0" borderId="46" xfId="1" applyNumberFormat="1" applyFont="1" applyBorder="1" applyAlignment="1">
      <alignment wrapText="1"/>
    </xf>
    <xf numFmtId="166" fontId="10" fillId="0" borderId="1" xfId="1" applyNumberFormat="1" applyFont="1" applyBorder="1" applyAlignment="1">
      <alignment horizontal="center" wrapText="1"/>
    </xf>
    <xf numFmtId="165" fontId="10" fillId="0" borderId="1" xfId="1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3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41" fillId="0" borderId="0" xfId="1" applyFont="1"/>
    <xf numFmtId="0" fontId="42" fillId="0" borderId="5" xfId="1" applyFont="1" applyBorder="1" applyAlignment="1">
      <alignment wrapText="1"/>
    </xf>
    <xf numFmtId="0" fontId="42" fillId="0" borderId="6" xfId="1" applyFont="1" applyBorder="1" applyAlignment="1">
      <alignment wrapText="1"/>
    </xf>
    <xf numFmtId="0" fontId="41" fillId="0" borderId="6" xfId="1" applyFont="1" applyBorder="1" applyAlignment="1">
      <alignment wrapText="1"/>
    </xf>
    <xf numFmtId="0" fontId="42" fillId="0" borderId="6" xfId="1" applyFont="1" applyBorder="1" applyAlignment="1">
      <alignment horizontal="center" wrapText="1"/>
    </xf>
    <xf numFmtId="0" fontId="41" fillId="0" borderId="7" xfId="1" applyFont="1" applyBorder="1" applyAlignment="1">
      <alignment wrapText="1"/>
    </xf>
    <xf numFmtId="0" fontId="43" fillId="0" borderId="8" xfId="1" applyFont="1" applyBorder="1"/>
    <xf numFmtId="0" fontId="43" fillId="0" borderId="1" xfId="1" applyFont="1" applyBorder="1" applyAlignment="1">
      <alignment horizontal="center"/>
    </xf>
    <xf numFmtId="4" fontId="41" fillId="0" borderId="1" xfId="1" applyNumberFormat="1" applyFont="1" applyBorder="1" applyAlignment="1">
      <alignment horizontal="center" wrapText="1"/>
    </xf>
    <xf numFmtId="0" fontId="41" fillId="0" borderId="1" xfId="1" applyFont="1" applyBorder="1"/>
    <xf numFmtId="4" fontId="41" fillId="0" borderId="9" xfId="1" applyNumberFormat="1" applyFont="1" applyBorder="1"/>
    <xf numFmtId="0" fontId="29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36" fillId="0" borderId="11" xfId="3" applyFont="1" applyBorder="1"/>
    <xf numFmtId="0" fontId="3" fillId="0" borderId="18" xfId="1" applyFont="1" applyBorder="1" applyAlignment="1">
      <alignment wrapText="1"/>
    </xf>
    <xf numFmtId="0" fontId="24" fillId="0" borderId="16" xfId="1" applyFont="1" applyBorder="1" applyAlignment="1">
      <alignment wrapText="1"/>
    </xf>
    <xf numFmtId="0" fontId="45" fillId="0" borderId="0" xfId="1" applyFont="1"/>
    <xf numFmtId="0" fontId="6" fillId="9" borderId="0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left" wrapText="1"/>
    </xf>
    <xf numFmtId="0" fontId="29" fillId="9" borderId="0" xfId="0" applyFont="1" applyFill="1"/>
    <xf numFmtId="0" fontId="29" fillId="9" borderId="0" xfId="0" applyFont="1" applyFill="1" applyBorder="1" applyAlignment="1">
      <alignment horizontal="center" wrapText="1"/>
    </xf>
    <xf numFmtId="0" fontId="29" fillId="9" borderId="32" xfId="0" applyFont="1" applyFill="1" applyBorder="1" applyAlignment="1">
      <alignment wrapText="1"/>
    </xf>
    <xf numFmtId="0" fontId="29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" fontId="3" fillId="0" borderId="11" xfId="1" applyNumberFormat="1" applyFont="1" applyBorder="1" applyAlignment="1">
      <alignment wrapText="1"/>
    </xf>
    <xf numFmtId="4" fontId="3" fillId="0" borderId="1" xfId="1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22" xfId="1" applyFont="1" applyBorder="1" applyAlignment="1">
      <alignment wrapText="1"/>
    </xf>
    <xf numFmtId="4" fontId="3" fillId="0" borderId="50" xfId="1" applyNumberFormat="1" applyFont="1" applyBorder="1" applyAlignment="1">
      <alignment wrapText="1"/>
    </xf>
    <xf numFmtId="2" fontId="10" fillId="0" borderId="0" xfId="1" applyNumberFormat="1" applyFont="1" applyFill="1"/>
    <xf numFmtId="0" fontId="31" fillId="0" borderId="0" xfId="0" applyFont="1"/>
    <xf numFmtId="14" fontId="6" fillId="0" borderId="1" xfId="0" applyNumberFormat="1" applyFont="1" applyBorder="1"/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50" fillId="0" borderId="0" xfId="0" applyFont="1" applyBorder="1" applyAlignment="1"/>
    <xf numFmtId="0" fontId="50" fillId="0" borderId="0" xfId="0" applyFont="1"/>
    <xf numFmtId="4" fontId="10" fillId="0" borderId="0" xfId="1" applyNumberFormat="1" applyBorder="1"/>
    <xf numFmtId="4" fontId="10" fillId="12" borderId="0" xfId="1" applyNumberFormat="1" applyFill="1"/>
    <xf numFmtId="167" fontId="5" fillId="12" borderId="1" xfId="0" applyNumberFormat="1" applyFont="1" applyFill="1" applyBorder="1" applyAlignment="1">
      <alignment horizontal="right" vertical="top"/>
    </xf>
    <xf numFmtId="4" fontId="10" fillId="13" borderId="0" xfId="1" applyNumberFormat="1" applyFill="1"/>
    <xf numFmtId="0" fontId="10" fillId="8" borderId="0" xfId="1" applyFill="1"/>
    <xf numFmtId="9" fontId="33" fillId="0" borderId="1" xfId="0" applyNumberFormat="1" applyFont="1" applyBorder="1"/>
    <xf numFmtId="2" fontId="3" fillId="0" borderId="1" xfId="1" applyNumberFormat="1" applyFont="1" applyBorder="1"/>
    <xf numFmtId="0" fontId="3" fillId="0" borderId="3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wrapText="1"/>
    </xf>
    <xf numFmtId="0" fontId="37" fillId="0" borderId="21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3" fillId="0" borderId="3" xfId="0" quotePrefix="1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46" fillId="0" borderId="3" xfId="0" applyFont="1" applyBorder="1" applyAlignment="1">
      <alignment horizontal="left" vertical="top" wrapText="1"/>
    </xf>
    <xf numFmtId="0" fontId="46" fillId="0" borderId="32" xfId="0" applyFont="1" applyBorder="1" applyAlignment="1">
      <alignment horizontal="left" vertical="top"/>
    </xf>
    <xf numFmtId="0" fontId="46" fillId="0" borderId="4" xfId="0" applyFont="1" applyBorder="1" applyAlignment="1">
      <alignment horizontal="left" vertical="top"/>
    </xf>
    <xf numFmtId="0" fontId="29" fillId="0" borderId="3" xfId="0" applyFont="1" applyBorder="1" applyAlignment="1">
      <alignment horizontal="center" vertical="top"/>
    </xf>
    <xf numFmtId="0" fontId="29" fillId="0" borderId="32" xfId="0" applyFont="1" applyBorder="1" applyAlignment="1">
      <alignment horizontal="center" vertical="top"/>
    </xf>
    <xf numFmtId="0" fontId="29" fillId="0" borderId="4" xfId="0" applyFont="1" applyBorder="1" applyAlignment="1">
      <alignment horizontal="center" vertical="top"/>
    </xf>
    <xf numFmtId="0" fontId="31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4" fillId="0" borderId="3" xfId="0" quotePrefix="1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33" fillId="0" borderId="3" xfId="0" applyFont="1" applyBorder="1" applyAlignment="1">
      <alignment horizontal="left" wrapText="1"/>
    </xf>
    <xf numFmtId="0" fontId="3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29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29" fillId="0" borderId="21" xfId="0" applyFont="1" applyBorder="1" applyAlignment="1">
      <alignment horizontal="left" vertical="top"/>
    </xf>
    <xf numFmtId="0" fontId="5" fillId="0" borderId="1" xfId="0" applyFont="1" applyBorder="1" applyAlignment="1">
      <alignment horizontal="center" wrapText="1"/>
    </xf>
    <xf numFmtId="2" fontId="29" fillId="0" borderId="21" xfId="0" applyNumberFormat="1" applyFont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2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33" fillId="0" borderId="32" xfId="0" applyFont="1" applyBorder="1" applyAlignment="1">
      <alignment horizontal="left" wrapText="1"/>
    </xf>
    <xf numFmtId="0" fontId="33" fillId="0" borderId="35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14" fontId="29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30" fillId="0" borderId="0" xfId="0" applyFont="1" applyAlignment="1">
      <alignment horizontal="right"/>
    </xf>
    <xf numFmtId="0" fontId="30" fillId="0" borderId="36" xfId="0" applyFont="1" applyBorder="1" applyAlignment="1">
      <alignment horizontal="right"/>
    </xf>
    <xf numFmtId="0" fontId="29" fillId="0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right" wrapText="1"/>
    </xf>
    <xf numFmtId="0" fontId="30" fillId="0" borderId="36" xfId="0" applyFont="1" applyFill="1" applyBorder="1" applyAlignment="1">
      <alignment horizontal="right" wrapText="1"/>
    </xf>
    <xf numFmtId="0" fontId="38" fillId="0" borderId="21" xfId="0" applyFont="1" applyBorder="1" applyAlignment="1">
      <alignment horizontal="left" wrapText="1"/>
    </xf>
    <xf numFmtId="0" fontId="3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31" fillId="0" borderId="19" xfId="0" applyFont="1" applyBorder="1" applyAlignment="1">
      <alignment horizontal="center"/>
    </xf>
    <xf numFmtId="0" fontId="10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0" fontId="17" fillId="0" borderId="37" xfId="1" applyFont="1" applyBorder="1" applyAlignment="1">
      <alignment horizontal="center" wrapText="1"/>
    </xf>
    <xf numFmtId="0" fontId="17" fillId="0" borderId="0" xfId="1" applyFont="1" applyBorder="1" applyAlignment="1">
      <alignment horizontal="center" wrapText="1"/>
    </xf>
    <xf numFmtId="0" fontId="10" fillId="0" borderId="0" xfId="1" applyAlignment="1">
      <alignment horizontal="center" wrapText="1"/>
    </xf>
    <xf numFmtId="0" fontId="16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center" wrapText="1"/>
    </xf>
    <xf numFmtId="0" fontId="17" fillId="0" borderId="0" xfId="1" applyFont="1" applyAlignment="1">
      <alignment horizontal="center" wrapText="1"/>
    </xf>
    <xf numFmtId="0" fontId="3" fillId="0" borderId="42" xfId="1" applyFont="1" applyBorder="1" applyAlignment="1">
      <alignment horizontal="center" vertical="top" wrapText="1"/>
    </xf>
    <xf numFmtId="0" fontId="0" fillId="0" borderId="43" xfId="0" applyBorder="1"/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4" fontId="3" fillId="0" borderId="1" xfId="1" applyNumberFormat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44" xfId="1" applyFont="1" applyBorder="1" applyAlignment="1">
      <alignment horizontal="center" wrapText="1"/>
    </xf>
    <xf numFmtId="0" fontId="3" fillId="0" borderId="45" xfId="1" applyFont="1" applyBorder="1" applyAlignment="1">
      <alignment horizontal="center" wrapText="1"/>
    </xf>
    <xf numFmtId="4" fontId="3" fillId="0" borderId="11" xfId="1" applyNumberFormat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3" fillId="0" borderId="21" xfId="1" applyFont="1" applyBorder="1" applyAlignment="1">
      <alignment horizontal="center" wrapText="1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0" fontId="3" fillId="0" borderId="49" xfId="1" applyFont="1" applyBorder="1" applyAlignment="1">
      <alignment horizontal="left" wrapText="1"/>
    </xf>
    <xf numFmtId="0" fontId="3" fillId="0" borderId="21" xfId="1" applyFont="1" applyBorder="1" applyAlignment="1">
      <alignment horizontal="left" wrapText="1"/>
    </xf>
    <xf numFmtId="0" fontId="3" fillId="0" borderId="34" xfId="1" applyFont="1" applyBorder="1" applyAlignment="1">
      <alignment horizontal="left" wrapText="1"/>
    </xf>
    <xf numFmtId="0" fontId="3" fillId="0" borderId="47" xfId="1" applyFont="1" applyBorder="1" applyAlignment="1">
      <alignment horizontal="left" wrapText="1"/>
    </xf>
    <xf numFmtId="0" fontId="3" fillId="0" borderId="48" xfId="1" applyFont="1" applyBorder="1" applyAlignment="1">
      <alignment horizontal="left" wrapText="1"/>
    </xf>
    <xf numFmtId="0" fontId="3" fillId="0" borderId="45" xfId="1" applyFont="1" applyBorder="1" applyAlignment="1">
      <alignment horizontal="left" wrapText="1"/>
    </xf>
    <xf numFmtId="0" fontId="15" fillId="9" borderId="0" xfId="1" applyFont="1" applyFill="1" applyAlignment="1">
      <alignment horizontal="center" wrapText="1"/>
    </xf>
    <xf numFmtId="0" fontId="19" fillId="9" borderId="0" xfId="1" applyFont="1" applyFill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  <xf numFmtId="0" fontId="3" fillId="9" borderId="17" xfId="1" applyFont="1" applyFill="1" applyBorder="1" applyAlignment="1">
      <alignment horizontal="center" vertical="center" wrapText="1"/>
    </xf>
    <xf numFmtId="0" fontId="3" fillId="9" borderId="39" xfId="1" applyFont="1" applyFill="1" applyBorder="1" applyAlignment="1">
      <alignment horizontal="center" vertical="center" wrapText="1"/>
    </xf>
    <xf numFmtId="0" fontId="3" fillId="9" borderId="10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/>
    </xf>
    <xf numFmtId="0" fontId="15" fillId="0" borderId="32" xfId="1" applyFont="1" applyBorder="1" applyAlignment="1">
      <alignment horizontal="center" wrapText="1"/>
    </xf>
    <xf numFmtId="0" fontId="17" fillId="0" borderId="32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23" fillId="0" borderId="0" xfId="1" applyFont="1" applyAlignment="1">
      <alignment horizontal="center" wrapText="1"/>
    </xf>
    <xf numFmtId="0" fontId="10" fillId="0" borderId="0" xfId="1" applyAlignment="1">
      <alignment horizontal="left"/>
    </xf>
    <xf numFmtId="0" fontId="40" fillId="0" borderId="0" xfId="1" applyFont="1" applyAlignment="1">
      <alignment horizontal="center" wrapText="1"/>
    </xf>
    <xf numFmtId="0" fontId="15" fillId="0" borderId="38" xfId="1" applyNumberFormat="1" applyFont="1" applyBorder="1" applyAlignment="1">
      <alignment horizontal="center" vertical="top" wrapText="1"/>
    </xf>
    <xf numFmtId="0" fontId="15" fillId="0" borderId="0" xfId="1" applyNumberFormat="1" applyFont="1" applyBorder="1" applyAlignment="1">
      <alignment horizontal="center" vertical="top" wrapText="1"/>
    </xf>
    <xf numFmtId="0" fontId="17" fillId="0" borderId="0" xfId="1" applyNumberFormat="1" applyFont="1" applyBorder="1" applyAlignment="1">
      <alignment horizontal="center" vertical="top" wrapText="1"/>
    </xf>
    <xf numFmtId="0" fontId="17" fillId="0" borderId="38" xfId="1" applyNumberFormat="1" applyFont="1" applyBorder="1" applyAlignment="1">
      <alignment horizontal="center" vertical="top" wrapText="1"/>
    </xf>
    <xf numFmtId="0" fontId="17" fillId="0" borderId="0" xfId="1" applyNumberFormat="1" applyFont="1" applyBorder="1" applyAlignment="1">
      <alignment horizontal="center"/>
    </xf>
    <xf numFmtId="0" fontId="15" fillId="0" borderId="38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0" fontId="17" fillId="0" borderId="21" xfId="1" applyFont="1" applyBorder="1" applyAlignment="1" applyProtection="1">
      <alignment horizontal="center" vertical="center" wrapText="1"/>
      <protection locked="0"/>
    </xf>
    <xf numFmtId="0" fontId="17" fillId="0" borderId="0" xfId="1" applyNumberFormat="1" applyFont="1" applyBorder="1" applyAlignment="1">
      <alignment horizontal="center" wrapText="1"/>
    </xf>
    <xf numFmtId="0" fontId="25" fillId="0" borderId="0" xfId="1" applyFont="1" applyAlignment="1">
      <alignment horizontal="center"/>
    </xf>
    <xf numFmtId="0" fontId="26" fillId="0" borderId="3" xfId="1" applyFont="1" applyBorder="1" applyAlignment="1">
      <alignment horizontal="left" vertical="center"/>
    </xf>
    <xf numFmtId="0" fontId="26" fillId="0" borderId="3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15" fillId="0" borderId="2" xfId="1" applyFont="1" applyBorder="1" applyAlignment="1">
      <alignment horizontal="center" wrapText="1"/>
    </xf>
    <xf numFmtId="0" fontId="26" fillId="0" borderId="21" xfId="1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41;&#1065;&#1048;&#1045;%20&#1044;&#1054;&#1050;&#1059;&#1052;&#1045;&#1053;&#1058;&#1067;\&#1088;&#1072;&#1073;&#1086;&#1095;&#1080;&#1081;%202018\&#1084;&#1079;\Users\&#1055;&#1086;&#1083;&#1100;&#1079;&#1086;&#1074;&#1072;&#1090;&#1077;&#1083;&#1100;\Downloads\Documents%20and%20Settings\ermolaeva\&#1056;&#1072;&#1073;&#1086;&#1095;&#1080;&#1081;%20&#1089;&#1090;&#1086;&#1083;\2015%20&#1075;&#1086;&#1076;\&#1084;&#1091;&#1085;&#1080;&#1094;&#1080;&#1087;&#1072;&#1083;&#1100;&#1085;&#1086;&#1077;%20&#1079;&#1072;&#1076;&#1072;&#1085;&#1080;&#1077;\&#1089;&#1072;&#1076;%2089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ун.задание"/>
      <sheetName val="вспомогательная таблица"/>
      <sheetName val="прил.1+2"/>
      <sheetName val="прил.3"/>
      <sheetName val="прил.4"/>
      <sheetName val="прил.5"/>
      <sheetName val="прил.6"/>
      <sheetName val="свод "/>
      <sheetName val="проверка"/>
      <sheetName val="касса"/>
      <sheetName val="отчет 1433-2"/>
      <sheetName val="отчет1433-1"/>
      <sheetName val="1433-9мес"/>
      <sheetName val="касса 2014"/>
      <sheetName val="1433"/>
    </sheetNames>
    <sheetDataSet>
      <sheetData sheetId="0"/>
      <sheetData sheetId="1" refreshError="1"/>
      <sheetData sheetId="2"/>
      <sheetData sheetId="3"/>
      <sheetData sheetId="4" refreshError="1"/>
      <sheetData sheetId="5">
        <row r="31">
          <cell r="B31" t="str">
            <v>вывоз жидких бытовых отходов и объемов жидких бытовых отходов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3"/>
  <sheetViews>
    <sheetView view="pageBreakPreview" topLeftCell="A48" zoomScale="90" zoomScaleSheetLayoutView="90" workbookViewId="0">
      <selection activeCell="Q122" sqref="Q122:Q125"/>
    </sheetView>
  </sheetViews>
  <sheetFormatPr defaultColWidth="9.140625" defaultRowHeight="15"/>
  <cols>
    <col min="1" max="1" width="17.42578125" style="1" customWidth="1"/>
    <col min="2" max="2" width="10.85546875" style="1" customWidth="1"/>
    <col min="3" max="3" width="11.28515625" style="1" customWidth="1"/>
    <col min="4" max="5" width="10.42578125" style="1" customWidth="1"/>
    <col min="6" max="6" width="10.5703125" style="1" customWidth="1"/>
    <col min="7" max="7" width="10.42578125" style="1" customWidth="1"/>
    <col min="8" max="8" width="12.28515625" style="1" customWidth="1"/>
    <col min="9" max="9" width="20.7109375" style="1" customWidth="1"/>
    <col min="10" max="10" width="6" style="1" customWidth="1"/>
    <col min="11" max="11" width="7.28515625" style="1" customWidth="1"/>
    <col min="12" max="12" width="8.7109375" style="1" customWidth="1"/>
    <col min="13" max="13" width="10.5703125" style="1" customWidth="1"/>
    <col min="14" max="14" width="11.140625" style="1" customWidth="1"/>
    <col min="15" max="16" width="9.28515625" style="1" customWidth="1"/>
    <col min="17" max="16384" width="9.140625" style="1"/>
  </cols>
  <sheetData>
    <row r="1" spans="1:16">
      <c r="L1" s="1" t="s">
        <v>7</v>
      </c>
    </row>
    <row r="2" spans="1:16">
      <c r="L2" s="1" t="s">
        <v>15</v>
      </c>
    </row>
    <row r="3" spans="1:16">
      <c r="L3" s="1" t="s">
        <v>16</v>
      </c>
    </row>
    <row r="4" spans="1:16">
      <c r="L4" s="1" t="s">
        <v>17</v>
      </c>
    </row>
    <row r="5" spans="1:16">
      <c r="L5" s="387" t="s">
        <v>378</v>
      </c>
      <c r="M5" s="388"/>
      <c r="N5" s="387"/>
      <c r="O5" s="7"/>
    </row>
    <row r="8" spans="1:16" s="293" customFormat="1">
      <c r="A8" s="481" t="s">
        <v>384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</row>
    <row r="9" spans="1:16">
      <c r="A9" s="425" t="s">
        <v>372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</row>
    <row r="10" spans="1:1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12" t="s">
        <v>6</v>
      </c>
      <c r="P10" s="412"/>
    </row>
    <row r="11" spans="1:16">
      <c r="M11" s="484" t="s">
        <v>4</v>
      </c>
      <c r="N11" s="485"/>
      <c r="O11" s="483" t="s">
        <v>5</v>
      </c>
      <c r="P11" s="483"/>
    </row>
    <row r="12" spans="1:16">
      <c r="M12" s="484" t="s">
        <v>365</v>
      </c>
      <c r="N12" s="485"/>
      <c r="O12" s="482"/>
      <c r="P12" s="412"/>
    </row>
    <row r="13" spans="1:16" ht="16.5">
      <c r="A13" s="1" t="s">
        <v>0</v>
      </c>
      <c r="M13" s="484" t="s">
        <v>366</v>
      </c>
      <c r="N13" s="485"/>
      <c r="O13" s="420"/>
      <c r="P13" s="422"/>
    </row>
    <row r="14" spans="1:16" ht="27.75" customHeight="1">
      <c r="A14" s="489" t="s">
        <v>383</v>
      </c>
      <c r="B14" s="489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7" t="s">
        <v>313</v>
      </c>
      <c r="N14" s="488"/>
      <c r="O14" s="420"/>
      <c r="P14" s="422"/>
    </row>
    <row r="15" spans="1:16">
      <c r="A15" s="2" t="s">
        <v>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/>
      <c r="N15" s="6" t="s">
        <v>3</v>
      </c>
      <c r="O15" s="486" t="s">
        <v>289</v>
      </c>
      <c r="P15" s="486"/>
    </row>
    <row r="16" spans="1:16">
      <c r="A16" s="404" t="s">
        <v>74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6"/>
      <c r="N16" s="6" t="s">
        <v>3</v>
      </c>
      <c r="O16" s="486"/>
      <c r="P16" s="486"/>
    </row>
    <row r="17" spans="1:16">
      <c r="A17" s="421"/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6"/>
      <c r="N17" s="6" t="s">
        <v>3</v>
      </c>
      <c r="O17" s="486"/>
      <c r="P17" s="486"/>
    </row>
    <row r="18" spans="1:16">
      <c r="A18" s="1" t="s">
        <v>2</v>
      </c>
      <c r="O18" s="412"/>
      <c r="P18" s="412"/>
    </row>
    <row r="19" spans="1:16">
      <c r="A19" s="404" t="s">
        <v>73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O19" s="412"/>
      <c r="P19" s="412"/>
    </row>
    <row r="20" spans="1:16">
      <c r="A20" s="473" t="s">
        <v>319</v>
      </c>
      <c r="B20" s="473"/>
      <c r="C20" s="473"/>
      <c r="D20" s="473"/>
      <c r="E20" s="473"/>
      <c r="F20" s="473"/>
      <c r="G20" s="473"/>
      <c r="H20" s="473"/>
      <c r="I20" s="473"/>
      <c r="J20" s="473"/>
      <c r="K20" s="5"/>
      <c r="L20" s="5"/>
    </row>
    <row r="23" spans="1:16">
      <c r="A23" s="425" t="s">
        <v>368</v>
      </c>
      <c r="B23" s="425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</row>
    <row r="24" spans="1:16">
      <c r="A24" s="425" t="s">
        <v>88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</row>
    <row r="26" spans="1:16" ht="15" customHeight="1">
      <c r="A26" s="1" t="s">
        <v>9</v>
      </c>
      <c r="E26" s="404" t="s">
        <v>75</v>
      </c>
      <c r="F26" s="404"/>
      <c r="G26" s="404"/>
      <c r="H26" s="404"/>
      <c r="I26" s="404"/>
      <c r="J26" s="404"/>
      <c r="K26" s="404"/>
      <c r="L26" s="404"/>
      <c r="M26" s="491" t="s">
        <v>314</v>
      </c>
      <c r="N26" s="492"/>
      <c r="O26" s="441"/>
      <c r="P26" s="441"/>
    </row>
    <row r="27" spans="1:16">
      <c r="A27" s="404" t="s">
        <v>76</v>
      </c>
      <c r="B27" s="404"/>
      <c r="C27" s="404"/>
      <c r="D27" s="404"/>
      <c r="E27" s="404"/>
      <c r="F27" s="404"/>
      <c r="G27" s="404"/>
      <c r="H27" s="404"/>
      <c r="I27" s="404"/>
      <c r="J27" s="404"/>
      <c r="K27" s="404"/>
      <c r="L27" s="404"/>
      <c r="M27" s="491"/>
      <c r="N27" s="492"/>
      <c r="O27" s="441"/>
      <c r="P27" s="441"/>
    </row>
    <row r="28" spans="1:16" ht="25.5" customHeight="1">
      <c r="A28" s="1" t="s">
        <v>10</v>
      </c>
      <c r="M28" s="491"/>
      <c r="N28" s="492"/>
      <c r="O28" s="441"/>
      <c r="P28" s="441"/>
    </row>
    <row r="29" spans="1:16">
      <c r="A29" s="404" t="s">
        <v>77</v>
      </c>
      <c r="B29" s="404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</row>
    <row r="30" spans="1:16">
      <c r="A30" s="421"/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</row>
    <row r="31" spans="1:16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6">
      <c r="A32" s="1" t="s">
        <v>14</v>
      </c>
    </row>
    <row r="34" spans="1:18">
      <c r="A34" s="1" t="s">
        <v>367</v>
      </c>
    </row>
    <row r="36" spans="1:18" s="28" customFormat="1" ht="68.25" customHeight="1">
      <c r="A36" s="399" t="s">
        <v>339</v>
      </c>
      <c r="B36" s="399"/>
      <c r="C36" s="400" t="s">
        <v>308</v>
      </c>
      <c r="D36" s="401"/>
      <c r="E36" s="402"/>
      <c r="F36" s="399" t="s">
        <v>309</v>
      </c>
      <c r="G36" s="399"/>
      <c r="H36" s="399" t="s">
        <v>21</v>
      </c>
      <c r="I36" s="399"/>
      <c r="J36" s="399"/>
      <c r="K36" s="399"/>
      <c r="L36" s="399"/>
      <c r="M36" s="399" t="s">
        <v>22</v>
      </c>
      <c r="N36" s="399"/>
      <c r="O36" s="399"/>
      <c r="P36" s="399"/>
      <c r="Q36" s="407" t="s">
        <v>370</v>
      </c>
      <c r="R36" s="407"/>
    </row>
    <row r="37" spans="1:18" s="28" customFormat="1" ht="24.75" customHeight="1">
      <c r="A37" s="399"/>
      <c r="B37" s="399"/>
      <c r="C37" s="399" t="s">
        <v>340</v>
      </c>
      <c r="D37" s="399" t="s">
        <v>340</v>
      </c>
      <c r="E37" s="399" t="s">
        <v>340</v>
      </c>
      <c r="F37" s="399" t="s">
        <v>340</v>
      </c>
      <c r="G37" s="399" t="s">
        <v>340</v>
      </c>
      <c r="H37" s="399" t="s">
        <v>341</v>
      </c>
      <c r="I37" s="399"/>
      <c r="J37" s="399" t="s">
        <v>310</v>
      </c>
      <c r="K37" s="399"/>
      <c r="L37" s="399"/>
      <c r="M37" s="442" t="s">
        <v>373</v>
      </c>
      <c r="N37" s="442" t="s">
        <v>374</v>
      </c>
      <c r="O37" s="475" t="s">
        <v>375</v>
      </c>
      <c r="P37" s="476"/>
      <c r="Q37" s="407" t="s">
        <v>315</v>
      </c>
      <c r="R37" s="493" t="s">
        <v>316</v>
      </c>
    </row>
    <row r="38" spans="1:18" s="28" customFormat="1" ht="26.25" customHeight="1">
      <c r="A38" s="399"/>
      <c r="B38" s="399"/>
      <c r="C38" s="399"/>
      <c r="D38" s="399"/>
      <c r="E38" s="399"/>
      <c r="F38" s="399"/>
      <c r="G38" s="399"/>
      <c r="H38" s="399"/>
      <c r="I38" s="399"/>
      <c r="J38" s="479" t="s">
        <v>342</v>
      </c>
      <c r="K38" s="480"/>
      <c r="L38" s="345" t="s">
        <v>343</v>
      </c>
      <c r="M38" s="443"/>
      <c r="N38" s="443"/>
      <c r="O38" s="477"/>
      <c r="P38" s="478"/>
      <c r="Q38" s="407"/>
      <c r="R38" s="494"/>
    </row>
    <row r="39" spans="1:18" s="28" customFormat="1" ht="11.25">
      <c r="A39" s="406">
        <v>1</v>
      </c>
      <c r="B39" s="406"/>
      <c r="C39" s="30">
        <v>2</v>
      </c>
      <c r="D39" s="30">
        <v>3</v>
      </c>
      <c r="E39" s="30">
        <v>4</v>
      </c>
      <c r="F39" s="30">
        <v>5</v>
      </c>
      <c r="G39" s="30">
        <v>6</v>
      </c>
      <c r="H39" s="406">
        <v>7</v>
      </c>
      <c r="I39" s="406"/>
      <c r="J39" s="479">
        <v>8</v>
      </c>
      <c r="K39" s="480"/>
      <c r="L39" s="30">
        <v>9</v>
      </c>
      <c r="M39" s="30">
        <v>10</v>
      </c>
      <c r="N39" s="30">
        <v>11</v>
      </c>
      <c r="O39" s="406">
        <v>12</v>
      </c>
      <c r="P39" s="406"/>
      <c r="Q39" s="32">
        <v>13</v>
      </c>
      <c r="R39" s="378">
        <v>14</v>
      </c>
    </row>
    <row r="40" spans="1:18" s="28" customFormat="1" ht="120.75" customHeight="1">
      <c r="A40" s="410"/>
      <c r="B40" s="411"/>
      <c r="C40" s="29" t="s">
        <v>78</v>
      </c>
      <c r="D40" s="29" t="s">
        <v>78</v>
      </c>
      <c r="E40" s="29" t="s">
        <v>79</v>
      </c>
      <c r="F40" s="29" t="s">
        <v>80</v>
      </c>
      <c r="G40" s="29" t="s">
        <v>287</v>
      </c>
      <c r="H40" s="431" t="s">
        <v>82</v>
      </c>
      <c r="I40" s="432"/>
      <c r="J40" s="424" t="s">
        <v>84</v>
      </c>
      <c r="K40" s="411"/>
      <c r="L40" s="29" t="s">
        <v>85</v>
      </c>
      <c r="M40" s="29"/>
      <c r="N40" s="29"/>
      <c r="O40" s="490"/>
      <c r="P40" s="490"/>
      <c r="Q40" s="347"/>
      <c r="R40" s="347"/>
    </row>
    <row r="41" spans="1:18" s="28" customFormat="1" ht="120" customHeight="1">
      <c r="A41" s="410"/>
      <c r="B41" s="411"/>
      <c r="C41" s="29" t="s">
        <v>78</v>
      </c>
      <c r="D41" s="29" t="s">
        <v>78</v>
      </c>
      <c r="E41" s="29" t="s">
        <v>81</v>
      </c>
      <c r="F41" s="29" t="s">
        <v>80</v>
      </c>
      <c r="G41" s="29" t="s">
        <v>287</v>
      </c>
      <c r="H41" s="431" t="s">
        <v>83</v>
      </c>
      <c r="I41" s="432"/>
      <c r="J41" s="424" t="s">
        <v>84</v>
      </c>
      <c r="K41" s="411"/>
      <c r="L41" s="29" t="s">
        <v>85</v>
      </c>
      <c r="M41" s="29"/>
      <c r="N41" s="29"/>
      <c r="O41" s="490"/>
      <c r="P41" s="490"/>
      <c r="Q41" s="347"/>
      <c r="R41" s="347"/>
    </row>
    <row r="43" spans="1:18" s="2" customFormat="1"/>
    <row r="44" spans="1:18" s="2" customFormat="1">
      <c r="D44" s="7"/>
    </row>
    <row r="45" spans="1:18" s="2" customFormat="1">
      <c r="D45" s="7"/>
    </row>
    <row r="46" spans="1:18">
      <c r="A46" s="1" t="s">
        <v>37</v>
      </c>
    </row>
    <row r="48" spans="1:18" s="28" customFormat="1" ht="69" customHeight="1">
      <c r="A48" s="399" t="s">
        <v>19</v>
      </c>
      <c r="B48" s="399"/>
      <c r="C48" s="400" t="s">
        <v>308</v>
      </c>
      <c r="D48" s="401"/>
      <c r="E48" s="402"/>
      <c r="F48" s="399" t="s">
        <v>309</v>
      </c>
      <c r="G48" s="399"/>
      <c r="H48" s="407" t="s">
        <v>31</v>
      </c>
      <c r="I48" s="407"/>
      <c r="J48" s="407"/>
      <c r="K48" s="407" t="s">
        <v>32</v>
      </c>
      <c r="L48" s="407"/>
      <c r="M48" s="407"/>
      <c r="N48" s="426" t="s">
        <v>364</v>
      </c>
      <c r="O48" s="426"/>
      <c r="P48" s="427"/>
      <c r="Q48" s="407" t="s">
        <v>371</v>
      </c>
      <c r="R48" s="407"/>
    </row>
    <row r="49" spans="1:18" s="28" customFormat="1" ht="42" customHeight="1">
      <c r="A49" s="399"/>
      <c r="B49" s="399"/>
      <c r="C49" s="399" t="s">
        <v>340</v>
      </c>
      <c r="D49" s="399" t="s">
        <v>340</v>
      </c>
      <c r="E49" s="399" t="s">
        <v>340</v>
      </c>
      <c r="F49" s="399" t="s">
        <v>340</v>
      </c>
      <c r="G49" s="399" t="s">
        <v>340</v>
      </c>
      <c r="H49" s="407" t="s">
        <v>344</v>
      </c>
      <c r="I49" s="407" t="s">
        <v>345</v>
      </c>
      <c r="J49" s="407"/>
      <c r="K49" s="408" t="s">
        <v>373</v>
      </c>
      <c r="L49" s="408" t="s">
        <v>374</v>
      </c>
      <c r="M49" s="408" t="s">
        <v>375</v>
      </c>
      <c r="N49" s="408" t="s">
        <v>373</v>
      </c>
      <c r="O49" s="408" t="s">
        <v>374</v>
      </c>
      <c r="P49" s="408" t="s">
        <v>375</v>
      </c>
      <c r="Q49" s="407" t="s">
        <v>315</v>
      </c>
      <c r="R49" s="493" t="s">
        <v>316</v>
      </c>
    </row>
    <row r="50" spans="1:18" s="28" customFormat="1" ht="34.5" customHeight="1">
      <c r="A50" s="399"/>
      <c r="B50" s="399"/>
      <c r="C50" s="399"/>
      <c r="D50" s="399"/>
      <c r="E50" s="399"/>
      <c r="F50" s="399"/>
      <c r="G50" s="399"/>
      <c r="H50" s="407"/>
      <c r="I50" s="31" t="s">
        <v>346</v>
      </c>
      <c r="J50" s="346" t="s">
        <v>347</v>
      </c>
      <c r="K50" s="409"/>
      <c r="L50" s="409"/>
      <c r="M50" s="409"/>
      <c r="N50" s="409"/>
      <c r="O50" s="409"/>
      <c r="P50" s="409"/>
      <c r="Q50" s="407"/>
      <c r="R50" s="494"/>
    </row>
    <row r="51" spans="1:18" s="28" customFormat="1" ht="11.25">
      <c r="A51" s="406">
        <v>1</v>
      </c>
      <c r="B51" s="406"/>
      <c r="C51" s="30">
        <v>2</v>
      </c>
      <c r="D51" s="30">
        <v>3</v>
      </c>
      <c r="E51" s="30">
        <v>4</v>
      </c>
      <c r="F51" s="30">
        <v>5</v>
      </c>
      <c r="G51" s="30">
        <v>6</v>
      </c>
      <c r="H51" s="32">
        <v>7</v>
      </c>
      <c r="I51" s="32">
        <v>8</v>
      </c>
      <c r="J51" s="32">
        <v>9</v>
      </c>
      <c r="K51" s="32">
        <v>10</v>
      </c>
      <c r="L51" s="32">
        <v>11</v>
      </c>
      <c r="M51" s="32">
        <v>12</v>
      </c>
      <c r="N51" s="32">
        <v>13</v>
      </c>
      <c r="O51" s="32">
        <v>14</v>
      </c>
      <c r="P51" s="32">
        <v>15</v>
      </c>
      <c r="Q51" s="32">
        <v>16</v>
      </c>
      <c r="R51" s="378">
        <v>17</v>
      </c>
    </row>
    <row r="52" spans="1:18" s="28" customFormat="1" ht="22.5">
      <c r="A52" s="429"/>
      <c r="B52" s="430"/>
      <c r="C52" s="29" t="s">
        <v>78</v>
      </c>
      <c r="D52" s="29" t="s">
        <v>78</v>
      </c>
      <c r="E52" s="29" t="s">
        <v>79</v>
      </c>
      <c r="F52" s="29" t="s">
        <v>80</v>
      </c>
      <c r="G52" s="29" t="s">
        <v>287</v>
      </c>
      <c r="H52" s="33" t="s">
        <v>86</v>
      </c>
      <c r="I52" s="33" t="s">
        <v>87</v>
      </c>
      <c r="J52" s="33">
        <v>792</v>
      </c>
      <c r="K52" s="34">
        <f>'проверка 2019'!I12</f>
        <v>115</v>
      </c>
      <c r="L52" s="34">
        <f>'проверка 2020 '!I12</f>
        <v>148</v>
      </c>
      <c r="M52" s="34">
        <f>проверка2021!I12</f>
        <v>215</v>
      </c>
      <c r="N52" s="54"/>
      <c r="O52" s="291"/>
      <c r="P52" s="54"/>
      <c r="Q52" s="394">
        <v>0.05</v>
      </c>
      <c r="R52" s="347"/>
    </row>
    <row r="53" spans="1:18" s="28" customFormat="1" ht="22.5">
      <c r="A53" s="429"/>
      <c r="B53" s="430"/>
      <c r="C53" s="29" t="s">
        <v>78</v>
      </c>
      <c r="D53" s="29" t="s">
        <v>78</v>
      </c>
      <c r="E53" s="29" t="s">
        <v>81</v>
      </c>
      <c r="F53" s="29" t="s">
        <v>80</v>
      </c>
      <c r="G53" s="29" t="s">
        <v>287</v>
      </c>
      <c r="H53" s="33" t="s">
        <v>86</v>
      </c>
      <c r="I53" s="33" t="s">
        <v>87</v>
      </c>
      <c r="J53" s="33">
        <v>792</v>
      </c>
      <c r="K53" s="34">
        <f>'проверка 2019'!J12</f>
        <v>836</v>
      </c>
      <c r="L53" s="34">
        <f>'проверка 2020 '!J12</f>
        <v>928</v>
      </c>
      <c r="M53" s="34">
        <f>проверка2021!J12</f>
        <v>1111</v>
      </c>
      <c r="N53" s="54"/>
      <c r="O53" s="291"/>
      <c r="P53" s="54"/>
      <c r="Q53" s="394">
        <v>0.05</v>
      </c>
      <c r="R53" s="347"/>
    </row>
    <row r="55" spans="1:18" s="2" customFormat="1" hidden="1"/>
    <row r="56" spans="1:18" s="2" customFormat="1" hidden="1">
      <c r="D56" s="7"/>
    </row>
    <row r="57" spans="1:18" hidden="1">
      <c r="D57" s="7"/>
    </row>
    <row r="58" spans="1:18" hidden="1">
      <c r="A58" s="16"/>
    </row>
    <row r="59" spans="1:18" hidden="1"/>
    <row r="60" spans="1:18" hidden="1"/>
    <row r="61" spans="1:18" hidden="1"/>
    <row r="63" spans="1:18">
      <c r="A63" s="1" t="s">
        <v>38</v>
      </c>
    </row>
    <row r="65" spans="1:19">
      <c r="A65" s="412" t="s">
        <v>43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</row>
    <row r="66" spans="1:19">
      <c r="A66" s="360" t="s">
        <v>39</v>
      </c>
      <c r="B66" s="412" t="s">
        <v>40</v>
      </c>
      <c r="C66" s="412"/>
      <c r="D66" s="412"/>
      <c r="E66" s="360" t="s">
        <v>41</v>
      </c>
      <c r="F66" s="360" t="s">
        <v>42</v>
      </c>
      <c r="G66" s="412" t="s">
        <v>25</v>
      </c>
      <c r="H66" s="412"/>
      <c r="I66" s="412"/>
      <c r="J66" s="412"/>
      <c r="K66" s="412"/>
      <c r="L66" s="412"/>
      <c r="M66" s="412"/>
    </row>
    <row r="67" spans="1:19">
      <c r="A67" s="361">
        <v>1</v>
      </c>
      <c r="B67" s="423">
        <v>2</v>
      </c>
      <c r="C67" s="423"/>
      <c r="D67" s="423"/>
      <c r="E67" s="361">
        <v>3</v>
      </c>
      <c r="F67" s="361">
        <v>4</v>
      </c>
      <c r="G67" s="423">
        <v>5</v>
      </c>
      <c r="H67" s="423"/>
      <c r="I67" s="423"/>
      <c r="J67" s="423"/>
      <c r="K67" s="423"/>
      <c r="L67" s="423"/>
      <c r="M67" s="423"/>
      <c r="N67" s="2"/>
      <c r="O67" s="2"/>
      <c r="P67" s="2"/>
      <c r="Q67" s="2"/>
    </row>
    <row r="68" spans="1:19" ht="47.25" customHeight="1">
      <c r="A68" s="384" t="s">
        <v>358</v>
      </c>
      <c r="B68" s="428" t="s">
        <v>359</v>
      </c>
      <c r="C68" s="428"/>
      <c r="D68" s="428"/>
      <c r="E68" s="385">
        <v>42727</v>
      </c>
      <c r="F68" s="386" t="s">
        <v>361</v>
      </c>
      <c r="G68" s="428" t="s">
        <v>360</v>
      </c>
      <c r="H68" s="428"/>
      <c r="I68" s="428"/>
      <c r="J68" s="428"/>
      <c r="K68" s="428"/>
      <c r="L68" s="428"/>
      <c r="M68" s="428"/>
      <c r="N68" s="367"/>
      <c r="O68" s="367"/>
      <c r="P68" s="367"/>
      <c r="Q68" s="2"/>
      <c r="R68" s="2"/>
      <c r="S68" s="2"/>
    </row>
    <row r="69" spans="1:19">
      <c r="A69" s="9"/>
      <c r="B69" s="412"/>
      <c r="C69" s="412"/>
      <c r="D69" s="412"/>
      <c r="E69" s="9"/>
      <c r="F69" s="9"/>
      <c r="G69" s="412"/>
      <c r="H69" s="412"/>
      <c r="I69" s="412"/>
      <c r="J69" s="412"/>
      <c r="K69" s="412"/>
      <c r="L69" s="412"/>
      <c r="M69" s="412"/>
      <c r="N69" s="2"/>
      <c r="O69" s="2"/>
      <c r="P69" s="2"/>
      <c r="Q69" s="2"/>
    </row>
    <row r="72" spans="1:19">
      <c r="A72" s="1" t="s">
        <v>44</v>
      </c>
    </row>
    <row r="74" spans="1:19">
      <c r="A74" s="1" t="s">
        <v>45</v>
      </c>
    </row>
    <row r="75" spans="1:19" ht="13.5" customHeight="1">
      <c r="A75" s="403" t="s">
        <v>334</v>
      </c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</row>
    <row r="76" spans="1:19" ht="17.25" customHeight="1">
      <c r="A76" s="403" t="s">
        <v>335</v>
      </c>
      <c r="B76" s="403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372"/>
      <c r="O76" s="372"/>
      <c r="P76" s="372"/>
    </row>
    <row r="77" spans="1:19" ht="33.75" customHeight="1">
      <c r="A77" s="403" t="s">
        <v>336</v>
      </c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368"/>
      <c r="O77" s="368"/>
      <c r="P77" s="368"/>
    </row>
    <row r="78" spans="1:19" ht="33.75" customHeight="1">
      <c r="A78" s="403" t="s">
        <v>337</v>
      </c>
      <c r="B78" s="403"/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368"/>
      <c r="O78" s="368"/>
      <c r="P78" s="368"/>
    </row>
    <row r="79" spans="1:19" ht="45.75" customHeight="1">
      <c r="A79" s="403" t="s">
        <v>338</v>
      </c>
      <c r="B79" s="403"/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368"/>
      <c r="O79" s="368"/>
      <c r="P79" s="368"/>
    </row>
    <row r="80" spans="1:19" ht="13.5" customHeight="1">
      <c r="A80" s="368"/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</row>
    <row r="81" spans="1:16">
      <c r="A81" s="419" t="s">
        <v>46</v>
      </c>
      <c r="B81" s="419"/>
      <c r="C81" s="419"/>
      <c r="D81" s="419"/>
      <c r="E81" s="419"/>
      <c r="F81" s="419"/>
      <c r="G81" s="419"/>
      <c r="H81" s="419"/>
      <c r="I81" s="419"/>
      <c r="J81" s="419"/>
      <c r="K81" s="419"/>
      <c r="L81" s="419"/>
    </row>
    <row r="84" spans="1:16">
      <c r="A84" s="1" t="s">
        <v>311</v>
      </c>
    </row>
    <row r="86" spans="1:16">
      <c r="A86" s="412" t="s">
        <v>47</v>
      </c>
      <c r="B86" s="412"/>
      <c r="C86" s="412"/>
      <c r="D86" s="412" t="s">
        <v>48</v>
      </c>
      <c r="E86" s="412"/>
      <c r="F86" s="412"/>
      <c r="G86" s="412"/>
      <c r="H86" s="412" t="s">
        <v>49</v>
      </c>
      <c r="I86" s="412"/>
      <c r="J86" s="412"/>
      <c r="K86" s="412"/>
    </row>
    <row r="87" spans="1:16">
      <c r="A87" s="423">
        <v>1</v>
      </c>
      <c r="B87" s="423"/>
      <c r="C87" s="423"/>
      <c r="D87" s="423">
        <v>2</v>
      </c>
      <c r="E87" s="423"/>
      <c r="F87" s="423"/>
      <c r="G87" s="423"/>
      <c r="H87" s="423">
        <v>3</v>
      </c>
      <c r="I87" s="423"/>
      <c r="J87" s="423"/>
      <c r="K87" s="423"/>
    </row>
    <row r="88" spans="1:16" ht="327.75" customHeight="1">
      <c r="A88" s="396" t="s">
        <v>271</v>
      </c>
      <c r="B88" s="397"/>
      <c r="C88" s="398"/>
      <c r="D88" s="413" t="s">
        <v>327</v>
      </c>
      <c r="E88" s="414"/>
      <c r="F88" s="414"/>
      <c r="G88" s="415"/>
      <c r="H88" s="416" t="s">
        <v>328</v>
      </c>
      <c r="I88" s="417"/>
      <c r="J88" s="417"/>
      <c r="K88" s="418"/>
    </row>
    <row r="89" spans="1:16">
      <c r="A89" s="420"/>
      <c r="B89" s="421"/>
      <c r="C89" s="422"/>
      <c r="D89" s="420"/>
      <c r="E89" s="421"/>
      <c r="F89" s="421"/>
      <c r="G89" s="422"/>
      <c r="H89" s="420"/>
      <c r="I89" s="421"/>
      <c r="J89" s="421"/>
      <c r="K89" s="422"/>
    </row>
    <row r="91" spans="1:16">
      <c r="A91" s="425" t="s">
        <v>89</v>
      </c>
      <c r="B91" s="425"/>
      <c r="C91" s="425"/>
      <c r="D91" s="425"/>
      <c r="E91" s="425"/>
      <c r="F91" s="425"/>
      <c r="G91" s="425"/>
      <c r="H91" s="425"/>
      <c r="I91" s="425"/>
      <c r="J91" s="425"/>
      <c r="K91" s="425"/>
      <c r="L91" s="425"/>
      <c r="M91" s="425"/>
      <c r="N91" s="425"/>
      <c r="O91" s="425"/>
      <c r="P91" s="425"/>
    </row>
    <row r="93" spans="1:16">
      <c r="A93" s="1" t="s">
        <v>9</v>
      </c>
      <c r="E93" s="404" t="s">
        <v>90</v>
      </c>
      <c r="F93" s="404"/>
      <c r="G93" s="404"/>
      <c r="H93" s="404"/>
      <c r="I93" s="404"/>
      <c r="J93" s="404"/>
      <c r="K93" s="404"/>
      <c r="L93" s="404"/>
      <c r="M93" s="491" t="s">
        <v>314</v>
      </c>
      <c r="N93" s="492"/>
      <c r="O93" s="441"/>
      <c r="P93" s="441"/>
    </row>
    <row r="94" spans="1:16">
      <c r="A94" s="405"/>
      <c r="B94" s="405"/>
      <c r="C94" s="405"/>
      <c r="D94" s="405"/>
      <c r="E94" s="405"/>
      <c r="F94" s="405"/>
      <c r="G94" s="405"/>
      <c r="H94" s="405"/>
      <c r="I94" s="405"/>
      <c r="J94" s="405"/>
      <c r="K94" s="405"/>
      <c r="L94" s="405"/>
      <c r="M94" s="491"/>
      <c r="N94" s="492"/>
      <c r="O94" s="441"/>
      <c r="P94" s="441"/>
    </row>
    <row r="95" spans="1:16" ht="27" customHeight="1">
      <c r="A95" s="1" t="s">
        <v>10</v>
      </c>
      <c r="M95" s="491"/>
      <c r="N95" s="492"/>
      <c r="O95" s="441"/>
      <c r="P95" s="441"/>
    </row>
    <row r="96" spans="1:16" ht="21.75" customHeight="1">
      <c r="A96" s="404" t="s">
        <v>77</v>
      </c>
      <c r="B96" s="404"/>
      <c r="C96" s="404"/>
      <c r="D96" s="404"/>
      <c r="E96" s="404"/>
      <c r="F96" s="404"/>
      <c r="G96" s="404"/>
      <c r="H96" s="404"/>
      <c r="I96" s="404"/>
      <c r="J96" s="404"/>
      <c r="K96" s="404"/>
      <c r="L96" s="404"/>
      <c r="M96" s="404"/>
      <c r="N96" s="404"/>
    </row>
    <row r="97" spans="1:18">
      <c r="A97" s="421"/>
      <c r="B97" s="421"/>
      <c r="C97" s="421"/>
      <c r="D97" s="421"/>
      <c r="E97" s="421"/>
      <c r="F97" s="421"/>
      <c r="G97" s="421"/>
      <c r="H97" s="421"/>
      <c r="I97" s="421"/>
      <c r="J97" s="421"/>
      <c r="K97" s="421"/>
      <c r="L97" s="421"/>
      <c r="M97" s="421"/>
      <c r="N97" s="421"/>
    </row>
    <row r="98" spans="1:1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8">
      <c r="A99" s="1" t="s">
        <v>14</v>
      </c>
    </row>
    <row r="101" spans="1:18">
      <c r="A101" s="1" t="s">
        <v>18</v>
      </c>
    </row>
    <row r="103" spans="1:18" ht="68.25" customHeight="1">
      <c r="A103" s="399" t="s">
        <v>339</v>
      </c>
      <c r="B103" s="399"/>
      <c r="C103" s="400" t="s">
        <v>308</v>
      </c>
      <c r="D103" s="401"/>
      <c r="E103" s="402"/>
      <c r="F103" s="399" t="s">
        <v>309</v>
      </c>
      <c r="G103" s="399"/>
      <c r="H103" s="399" t="s">
        <v>21</v>
      </c>
      <c r="I103" s="399"/>
      <c r="J103" s="399"/>
      <c r="K103" s="399"/>
      <c r="L103" s="399"/>
      <c r="M103" s="399" t="s">
        <v>22</v>
      </c>
      <c r="N103" s="399"/>
      <c r="O103" s="399"/>
      <c r="P103" s="399"/>
      <c r="Q103" s="407" t="s">
        <v>370</v>
      </c>
      <c r="R103" s="407"/>
    </row>
    <row r="104" spans="1:18" ht="24.75" customHeight="1">
      <c r="A104" s="399"/>
      <c r="B104" s="399"/>
      <c r="C104" s="399" t="s">
        <v>340</v>
      </c>
      <c r="D104" s="399" t="s">
        <v>340</v>
      </c>
      <c r="E104" s="399" t="s">
        <v>340</v>
      </c>
      <c r="F104" s="399" t="s">
        <v>340</v>
      </c>
      <c r="G104" s="399" t="s">
        <v>340</v>
      </c>
      <c r="H104" s="399" t="s">
        <v>341</v>
      </c>
      <c r="I104" s="399"/>
      <c r="J104" s="399" t="s">
        <v>310</v>
      </c>
      <c r="K104" s="399"/>
      <c r="L104" s="399"/>
      <c r="M104" s="442" t="s">
        <v>373</v>
      </c>
      <c r="N104" s="442" t="s">
        <v>374</v>
      </c>
      <c r="O104" s="475" t="s">
        <v>375</v>
      </c>
      <c r="P104" s="476"/>
      <c r="Q104" s="407" t="s">
        <v>315</v>
      </c>
      <c r="R104" s="493" t="s">
        <v>316</v>
      </c>
    </row>
    <row r="105" spans="1:18" ht="26.25" customHeight="1">
      <c r="A105" s="399"/>
      <c r="B105" s="399"/>
      <c r="C105" s="399"/>
      <c r="D105" s="399"/>
      <c r="E105" s="399"/>
      <c r="F105" s="399"/>
      <c r="G105" s="399"/>
      <c r="H105" s="399"/>
      <c r="I105" s="399"/>
      <c r="J105" s="479" t="s">
        <v>342</v>
      </c>
      <c r="K105" s="480"/>
      <c r="L105" s="374" t="s">
        <v>343</v>
      </c>
      <c r="M105" s="443"/>
      <c r="N105" s="443"/>
      <c r="O105" s="477"/>
      <c r="P105" s="478"/>
      <c r="Q105" s="407"/>
      <c r="R105" s="494"/>
    </row>
    <row r="106" spans="1:18">
      <c r="A106" s="406">
        <v>1</v>
      </c>
      <c r="B106" s="406"/>
      <c r="C106" s="375">
        <v>2</v>
      </c>
      <c r="D106" s="375">
        <v>3</v>
      </c>
      <c r="E106" s="375">
        <v>4</v>
      </c>
      <c r="F106" s="375">
        <v>5</v>
      </c>
      <c r="G106" s="375">
        <v>6</v>
      </c>
      <c r="H106" s="406">
        <v>7</v>
      </c>
      <c r="I106" s="406"/>
      <c r="J106" s="479">
        <v>8</v>
      </c>
      <c r="K106" s="480"/>
      <c r="L106" s="375">
        <v>9</v>
      </c>
      <c r="M106" s="375">
        <v>10</v>
      </c>
      <c r="N106" s="375">
        <v>11</v>
      </c>
      <c r="O106" s="406">
        <v>12</v>
      </c>
      <c r="P106" s="406"/>
      <c r="Q106" s="32">
        <v>13</v>
      </c>
      <c r="R106" s="378">
        <v>14</v>
      </c>
    </row>
    <row r="107" spans="1:18" ht="63" customHeight="1">
      <c r="A107" s="410"/>
      <c r="B107" s="411"/>
      <c r="C107" s="29" t="s">
        <v>106</v>
      </c>
      <c r="D107" s="29" t="s">
        <v>79</v>
      </c>
      <c r="E107" s="29"/>
      <c r="F107" s="29" t="s">
        <v>78</v>
      </c>
      <c r="G107" s="29"/>
      <c r="H107" s="431" t="s">
        <v>108</v>
      </c>
      <c r="I107" s="432"/>
      <c r="J107" s="424" t="s">
        <v>110</v>
      </c>
      <c r="K107" s="411"/>
      <c r="L107" s="55">
        <v>744</v>
      </c>
      <c r="M107" s="29"/>
      <c r="N107" s="29"/>
      <c r="O107" s="424"/>
      <c r="P107" s="411"/>
      <c r="Q107" s="9"/>
      <c r="R107" s="9"/>
    </row>
    <row r="108" spans="1:18" ht="63" customHeight="1">
      <c r="A108" s="410"/>
      <c r="B108" s="411"/>
      <c r="C108" s="29" t="s">
        <v>106</v>
      </c>
      <c r="D108" s="29" t="s">
        <v>81</v>
      </c>
      <c r="E108" s="29"/>
      <c r="F108" s="29" t="s">
        <v>78</v>
      </c>
      <c r="G108" s="29"/>
      <c r="H108" s="431" t="s">
        <v>109</v>
      </c>
      <c r="I108" s="432"/>
      <c r="J108" s="424" t="s">
        <v>110</v>
      </c>
      <c r="K108" s="411"/>
      <c r="L108" s="55">
        <v>744</v>
      </c>
      <c r="M108" s="29"/>
      <c r="N108" s="29"/>
      <c r="O108" s="424"/>
      <c r="P108" s="411"/>
      <c r="Q108" s="9"/>
      <c r="R108" s="9"/>
    </row>
    <row r="109" spans="1:18" ht="42.75" hidden="1" customHeight="1">
      <c r="A109" s="410"/>
      <c r="B109" s="411"/>
      <c r="C109" s="29" t="s">
        <v>107</v>
      </c>
      <c r="D109" s="29" t="s">
        <v>79</v>
      </c>
      <c r="E109" s="29"/>
      <c r="F109" s="29" t="s">
        <v>78</v>
      </c>
      <c r="G109" s="29"/>
      <c r="H109" s="431" t="s">
        <v>108</v>
      </c>
      <c r="I109" s="432"/>
      <c r="J109" s="424" t="s">
        <v>110</v>
      </c>
      <c r="K109" s="411"/>
      <c r="L109" s="55">
        <v>744</v>
      </c>
      <c r="M109" s="29"/>
      <c r="N109" s="29"/>
      <c r="O109" s="424"/>
      <c r="P109" s="411"/>
      <c r="Q109" s="9"/>
      <c r="R109" s="9"/>
    </row>
    <row r="110" spans="1:18" ht="42.75" customHeight="1">
      <c r="A110" s="410"/>
      <c r="B110" s="411"/>
      <c r="C110" s="29" t="s">
        <v>107</v>
      </c>
      <c r="D110" s="29" t="s">
        <v>81</v>
      </c>
      <c r="E110" s="29"/>
      <c r="F110" s="29" t="s">
        <v>78</v>
      </c>
      <c r="G110" s="29"/>
      <c r="H110" s="431" t="s">
        <v>109</v>
      </c>
      <c r="I110" s="432"/>
      <c r="J110" s="424" t="s">
        <v>110</v>
      </c>
      <c r="K110" s="411"/>
      <c r="L110" s="55">
        <v>744</v>
      </c>
      <c r="M110" s="29"/>
      <c r="N110" s="29"/>
      <c r="O110" s="424"/>
      <c r="P110" s="411"/>
      <c r="Q110" s="9"/>
      <c r="R110" s="9"/>
    </row>
    <row r="112" spans="1:18" s="2" customFormat="1"/>
    <row r="113" spans="1:18" s="2" customFormat="1">
      <c r="D113" s="7"/>
    </row>
    <row r="114" spans="1:18">
      <c r="D114" s="7"/>
    </row>
    <row r="116" spans="1:18">
      <c r="A116" s="1" t="s">
        <v>37</v>
      </c>
    </row>
    <row r="118" spans="1:18" ht="65.25" customHeight="1">
      <c r="A118" s="399" t="s">
        <v>19</v>
      </c>
      <c r="B118" s="399"/>
      <c r="C118" s="400" t="s">
        <v>308</v>
      </c>
      <c r="D118" s="401"/>
      <c r="E118" s="402"/>
      <c r="F118" s="399" t="s">
        <v>309</v>
      </c>
      <c r="G118" s="399"/>
      <c r="H118" s="407" t="s">
        <v>31</v>
      </c>
      <c r="I118" s="407"/>
      <c r="J118" s="407"/>
      <c r="K118" s="407" t="s">
        <v>32</v>
      </c>
      <c r="L118" s="407"/>
      <c r="M118" s="407"/>
      <c r="N118" s="426" t="s">
        <v>364</v>
      </c>
      <c r="O118" s="426"/>
      <c r="P118" s="427"/>
      <c r="Q118" s="407" t="s">
        <v>371</v>
      </c>
      <c r="R118" s="407"/>
    </row>
    <row r="119" spans="1:18" ht="42" customHeight="1">
      <c r="A119" s="399"/>
      <c r="B119" s="399"/>
      <c r="C119" s="399" t="s">
        <v>340</v>
      </c>
      <c r="D119" s="399" t="s">
        <v>340</v>
      </c>
      <c r="E119" s="399" t="s">
        <v>340</v>
      </c>
      <c r="F119" s="399" t="s">
        <v>340</v>
      </c>
      <c r="G119" s="399" t="s">
        <v>340</v>
      </c>
      <c r="H119" s="407" t="s">
        <v>344</v>
      </c>
      <c r="I119" s="407" t="s">
        <v>345</v>
      </c>
      <c r="J119" s="407"/>
      <c r="K119" s="408" t="s">
        <v>373</v>
      </c>
      <c r="L119" s="408" t="s">
        <v>374</v>
      </c>
      <c r="M119" s="408" t="s">
        <v>375</v>
      </c>
      <c r="N119" s="408" t="s">
        <v>373</v>
      </c>
      <c r="O119" s="408" t="s">
        <v>374</v>
      </c>
      <c r="P119" s="408" t="s">
        <v>375</v>
      </c>
      <c r="Q119" s="407" t="s">
        <v>315</v>
      </c>
      <c r="R119" s="493" t="s">
        <v>316</v>
      </c>
    </row>
    <row r="120" spans="1:18" ht="27.75" customHeight="1">
      <c r="A120" s="399"/>
      <c r="B120" s="399"/>
      <c r="C120" s="399"/>
      <c r="D120" s="399"/>
      <c r="E120" s="399"/>
      <c r="F120" s="399"/>
      <c r="G120" s="399"/>
      <c r="H120" s="407"/>
      <c r="I120" s="373" t="s">
        <v>346</v>
      </c>
      <c r="J120" s="373" t="s">
        <v>347</v>
      </c>
      <c r="K120" s="409"/>
      <c r="L120" s="409"/>
      <c r="M120" s="409"/>
      <c r="N120" s="409"/>
      <c r="O120" s="409"/>
      <c r="P120" s="409"/>
      <c r="Q120" s="407"/>
      <c r="R120" s="494"/>
    </row>
    <row r="121" spans="1:18">
      <c r="A121" s="406">
        <v>1</v>
      </c>
      <c r="B121" s="406"/>
      <c r="C121" s="375">
        <v>2</v>
      </c>
      <c r="D121" s="375">
        <v>3</v>
      </c>
      <c r="E121" s="375">
        <v>4</v>
      </c>
      <c r="F121" s="375">
        <v>5</v>
      </c>
      <c r="G121" s="375">
        <v>6</v>
      </c>
      <c r="H121" s="32">
        <v>7</v>
      </c>
      <c r="I121" s="32">
        <v>8</v>
      </c>
      <c r="J121" s="32">
        <v>9</v>
      </c>
      <c r="K121" s="32">
        <v>10</v>
      </c>
      <c r="L121" s="32">
        <v>11</v>
      </c>
      <c r="M121" s="32">
        <v>12</v>
      </c>
      <c r="N121" s="32">
        <v>13</v>
      </c>
      <c r="O121" s="32">
        <v>14</v>
      </c>
      <c r="P121" s="32">
        <v>15</v>
      </c>
      <c r="Q121" s="32">
        <v>16</v>
      </c>
      <c r="R121" s="378">
        <v>17</v>
      </c>
    </row>
    <row r="122" spans="1:18" ht="68.25">
      <c r="A122" s="410"/>
      <c r="B122" s="411"/>
      <c r="C122" s="29" t="s">
        <v>106</v>
      </c>
      <c r="D122" s="29" t="s">
        <v>79</v>
      </c>
      <c r="E122" s="29"/>
      <c r="F122" s="29" t="s">
        <v>78</v>
      </c>
      <c r="G122" s="29"/>
      <c r="H122" s="33" t="s">
        <v>111</v>
      </c>
      <c r="I122" s="33" t="s">
        <v>87</v>
      </c>
      <c r="J122" s="33">
        <v>792</v>
      </c>
      <c r="K122" s="34">
        <f>'проверка 2019'!H24</f>
        <v>115</v>
      </c>
      <c r="L122" s="34">
        <f>'проверка 2020 '!H24</f>
        <v>148</v>
      </c>
      <c r="M122" s="34">
        <f>проверка2021!H24</f>
        <v>215</v>
      </c>
      <c r="N122" s="54"/>
      <c r="O122" s="54"/>
      <c r="P122" s="54"/>
      <c r="Q122" s="394">
        <v>0.05</v>
      </c>
      <c r="R122" s="9"/>
    </row>
    <row r="123" spans="1:18" ht="68.25">
      <c r="A123" s="410"/>
      <c r="B123" s="411"/>
      <c r="C123" s="29" t="s">
        <v>106</v>
      </c>
      <c r="D123" s="29" t="s">
        <v>81</v>
      </c>
      <c r="E123" s="29"/>
      <c r="F123" s="29" t="s">
        <v>78</v>
      </c>
      <c r="G123" s="29"/>
      <c r="H123" s="33" t="s">
        <v>111</v>
      </c>
      <c r="I123" s="33" t="s">
        <v>87</v>
      </c>
      <c r="J123" s="33">
        <v>792</v>
      </c>
      <c r="K123" s="34">
        <f>'проверка 2019'!I24</f>
        <v>828</v>
      </c>
      <c r="L123" s="34">
        <f>'проверка 2020 '!I24</f>
        <v>920</v>
      </c>
      <c r="M123" s="34">
        <f>проверка2021!I24</f>
        <v>1103</v>
      </c>
      <c r="N123" s="54"/>
      <c r="O123" s="54"/>
      <c r="P123" s="54"/>
      <c r="Q123" s="394">
        <v>0.05</v>
      </c>
      <c r="R123" s="9"/>
    </row>
    <row r="124" spans="1:18" ht="23.25" hidden="1" customHeight="1">
      <c r="A124" s="410"/>
      <c r="B124" s="411"/>
      <c r="C124" s="29" t="s">
        <v>107</v>
      </c>
      <c r="D124" s="29" t="s">
        <v>79</v>
      </c>
      <c r="E124" s="29"/>
      <c r="F124" s="29" t="s">
        <v>78</v>
      </c>
      <c r="G124" s="29"/>
      <c r="H124" s="33" t="s">
        <v>111</v>
      </c>
      <c r="I124" s="33" t="s">
        <v>87</v>
      </c>
      <c r="J124" s="33">
        <v>792</v>
      </c>
      <c r="K124" s="34">
        <f>'проверка 2019'!J24</f>
        <v>0</v>
      </c>
      <c r="L124" s="34">
        <f>'проверка 2020 '!J24</f>
        <v>0</v>
      </c>
      <c r="M124" s="34">
        <f>проверка2021!J24</f>
        <v>0</v>
      </c>
      <c r="N124" s="54"/>
      <c r="O124" s="54"/>
      <c r="P124" s="54"/>
      <c r="Q124" s="9"/>
      <c r="R124" s="9"/>
    </row>
    <row r="125" spans="1:18" ht="23.25" customHeight="1">
      <c r="A125" s="410"/>
      <c r="B125" s="411"/>
      <c r="C125" s="29" t="s">
        <v>107</v>
      </c>
      <c r="D125" s="29" t="s">
        <v>81</v>
      </c>
      <c r="E125" s="29"/>
      <c r="F125" s="29" t="s">
        <v>78</v>
      </c>
      <c r="G125" s="29"/>
      <c r="H125" s="33" t="s">
        <v>111</v>
      </c>
      <c r="I125" s="33" t="s">
        <v>87</v>
      </c>
      <c r="J125" s="33">
        <v>792</v>
      </c>
      <c r="K125" s="34">
        <f>'проверка 2019'!K24</f>
        <v>8</v>
      </c>
      <c r="L125" s="34">
        <f>'проверка 2020 '!K24</f>
        <v>8</v>
      </c>
      <c r="M125" s="34">
        <f>проверка2021!K24</f>
        <v>8</v>
      </c>
      <c r="N125" s="54"/>
      <c r="O125" s="54"/>
      <c r="P125" s="54"/>
      <c r="Q125" s="394">
        <v>0.05</v>
      </c>
      <c r="R125" s="9"/>
    </row>
    <row r="127" spans="1:18" s="2" customFormat="1" hidden="1"/>
    <row r="128" spans="1:18" s="2" customFormat="1" hidden="1">
      <c r="D128" s="7"/>
    </row>
    <row r="129" spans="1:19" hidden="1">
      <c r="D129" s="7"/>
    </row>
    <row r="130" spans="1:19" hidden="1">
      <c r="A130" s="16"/>
    </row>
    <row r="131" spans="1:19" hidden="1"/>
    <row r="132" spans="1:19" hidden="1"/>
    <row r="133" spans="1:19" hidden="1"/>
    <row r="135" spans="1:19">
      <c r="A135" s="1" t="s">
        <v>38</v>
      </c>
    </row>
    <row r="137" spans="1:19">
      <c r="A137" s="412" t="s">
        <v>43</v>
      </c>
      <c r="B137" s="412"/>
      <c r="C137" s="412"/>
      <c r="D137" s="412"/>
      <c r="E137" s="412"/>
      <c r="F137" s="412"/>
      <c r="G137" s="412"/>
      <c r="H137" s="412"/>
      <c r="I137" s="412"/>
      <c r="J137" s="412"/>
      <c r="K137" s="412"/>
      <c r="L137" s="412"/>
      <c r="M137" s="412"/>
    </row>
    <row r="138" spans="1:19">
      <c r="A138" s="4" t="s">
        <v>39</v>
      </c>
      <c r="B138" s="412" t="s">
        <v>40</v>
      </c>
      <c r="C138" s="412"/>
      <c r="D138" s="412"/>
      <c r="E138" s="4" t="s">
        <v>41</v>
      </c>
      <c r="F138" s="4" t="s">
        <v>42</v>
      </c>
      <c r="G138" s="412" t="s">
        <v>25</v>
      </c>
      <c r="H138" s="412"/>
      <c r="I138" s="412"/>
      <c r="J138" s="412"/>
      <c r="K138" s="412"/>
      <c r="L138" s="412"/>
      <c r="M138" s="412"/>
    </row>
    <row r="139" spans="1:19">
      <c r="A139" s="8">
        <v>1</v>
      </c>
      <c r="B139" s="423">
        <v>2</v>
      </c>
      <c r="C139" s="423"/>
      <c r="D139" s="423"/>
      <c r="E139" s="8">
        <v>3</v>
      </c>
      <c r="F139" s="8">
        <v>4</v>
      </c>
      <c r="G139" s="498">
        <v>5</v>
      </c>
      <c r="H139" s="498"/>
      <c r="I139" s="498"/>
      <c r="J139" s="498"/>
      <c r="K139" s="498"/>
      <c r="L139" s="498"/>
      <c r="M139" s="498"/>
    </row>
    <row r="140" spans="1:19" ht="45.75" customHeight="1">
      <c r="A140" s="32" t="s">
        <v>269</v>
      </c>
      <c r="B140" s="437" t="s">
        <v>270</v>
      </c>
      <c r="C140" s="426"/>
      <c r="D140" s="427"/>
      <c r="E140" s="348">
        <v>43313</v>
      </c>
      <c r="F140" s="32">
        <v>136</v>
      </c>
      <c r="G140" s="438" t="s">
        <v>376</v>
      </c>
      <c r="H140" s="439"/>
      <c r="I140" s="439"/>
      <c r="J140" s="439"/>
      <c r="K140" s="439"/>
      <c r="L140" s="439"/>
      <c r="M140" s="440"/>
      <c r="N140" s="205"/>
      <c r="O140" s="205"/>
      <c r="P140" s="205"/>
      <c r="Q140" s="2"/>
      <c r="R140" s="2"/>
      <c r="S140" s="2"/>
    </row>
    <row r="141" spans="1:19" ht="51.75" customHeight="1">
      <c r="A141" s="32" t="s">
        <v>269</v>
      </c>
      <c r="B141" s="437" t="s">
        <v>270</v>
      </c>
      <c r="C141" s="426"/>
      <c r="D141" s="427"/>
      <c r="E141" s="383">
        <v>43826</v>
      </c>
      <c r="F141" s="378">
        <v>230</v>
      </c>
      <c r="G141" s="431" t="s">
        <v>377</v>
      </c>
      <c r="H141" s="474"/>
      <c r="I141" s="474"/>
      <c r="J141" s="474"/>
      <c r="K141" s="474"/>
      <c r="L141" s="474"/>
      <c r="M141" s="432"/>
    </row>
    <row r="144" spans="1:19">
      <c r="A144" s="1" t="s">
        <v>44</v>
      </c>
    </row>
    <row r="146" spans="1:16">
      <c r="A146" s="1" t="s">
        <v>45</v>
      </c>
    </row>
    <row r="147" spans="1:16" ht="13.5" customHeight="1">
      <c r="A147" s="403" t="s">
        <v>334</v>
      </c>
      <c r="B147" s="403"/>
      <c r="C147" s="403"/>
      <c r="D147" s="403"/>
      <c r="E147" s="403"/>
      <c r="F147" s="403"/>
      <c r="G147" s="403"/>
      <c r="H147" s="403"/>
      <c r="I147" s="403"/>
      <c r="J147" s="403"/>
      <c r="K147" s="403"/>
      <c r="L147" s="403"/>
      <c r="M147" s="403"/>
      <c r="N147" s="403"/>
      <c r="O147" s="403"/>
      <c r="P147" s="403"/>
    </row>
    <row r="148" spans="1:16" ht="17.25" customHeight="1">
      <c r="A148" s="403" t="s">
        <v>335</v>
      </c>
      <c r="B148" s="403"/>
      <c r="C148" s="403"/>
      <c r="D148" s="403"/>
      <c r="E148" s="403"/>
      <c r="F148" s="403"/>
      <c r="G148" s="403"/>
      <c r="H148" s="403"/>
      <c r="I148" s="403"/>
      <c r="J148" s="403"/>
      <c r="K148" s="403"/>
      <c r="L148" s="403"/>
      <c r="M148" s="403"/>
      <c r="N148" s="372"/>
      <c r="O148" s="372"/>
      <c r="P148" s="372"/>
    </row>
    <row r="149" spans="1:16" ht="33.75" customHeight="1">
      <c r="A149" s="403" t="s">
        <v>336</v>
      </c>
      <c r="B149" s="403"/>
      <c r="C149" s="403"/>
      <c r="D149" s="403"/>
      <c r="E149" s="403"/>
      <c r="F149" s="403"/>
      <c r="G149" s="403"/>
      <c r="H149" s="403"/>
      <c r="I149" s="403"/>
      <c r="J149" s="403"/>
      <c r="K149" s="403"/>
      <c r="L149" s="403"/>
      <c r="M149" s="403"/>
      <c r="N149" s="372"/>
      <c r="O149" s="372"/>
      <c r="P149" s="372"/>
    </row>
    <row r="150" spans="1:16" ht="33.75" customHeight="1">
      <c r="A150" s="403" t="s">
        <v>337</v>
      </c>
      <c r="B150" s="403"/>
      <c r="C150" s="403"/>
      <c r="D150" s="403"/>
      <c r="E150" s="403"/>
      <c r="F150" s="403"/>
      <c r="G150" s="403"/>
      <c r="H150" s="403"/>
      <c r="I150" s="403"/>
      <c r="J150" s="403"/>
      <c r="K150" s="403"/>
      <c r="L150" s="403"/>
      <c r="M150" s="403"/>
      <c r="N150" s="372"/>
      <c r="O150" s="372"/>
      <c r="P150" s="372"/>
    </row>
    <row r="151" spans="1:16" ht="45.75" customHeight="1">
      <c r="A151" s="403" t="s">
        <v>338</v>
      </c>
      <c r="B151" s="403"/>
      <c r="C151" s="403"/>
      <c r="D151" s="403"/>
      <c r="E151" s="403"/>
      <c r="F151" s="403"/>
      <c r="G151" s="403"/>
      <c r="H151" s="403"/>
      <c r="I151" s="403"/>
      <c r="J151" s="403"/>
      <c r="K151" s="403"/>
      <c r="L151" s="403"/>
      <c r="M151" s="403"/>
      <c r="N151" s="372"/>
      <c r="O151" s="372"/>
      <c r="P151" s="372"/>
    </row>
    <row r="152" spans="1:16">
      <c r="A152" s="419" t="s">
        <v>46</v>
      </c>
      <c r="B152" s="419"/>
      <c r="C152" s="419"/>
      <c r="D152" s="419"/>
      <c r="E152" s="419"/>
      <c r="F152" s="419"/>
      <c r="G152" s="419"/>
      <c r="H152" s="419"/>
      <c r="I152" s="419"/>
      <c r="J152" s="419"/>
      <c r="K152" s="419"/>
      <c r="L152" s="419"/>
    </row>
    <row r="155" spans="1:16">
      <c r="A155" s="1" t="s">
        <v>311</v>
      </c>
    </row>
    <row r="157" spans="1:16">
      <c r="A157" s="412" t="s">
        <v>47</v>
      </c>
      <c r="B157" s="412"/>
      <c r="C157" s="412"/>
      <c r="D157" s="412" t="s">
        <v>48</v>
      </c>
      <c r="E157" s="412"/>
      <c r="F157" s="412"/>
      <c r="G157" s="412"/>
      <c r="H157" s="412" t="s">
        <v>49</v>
      </c>
      <c r="I157" s="412"/>
      <c r="J157" s="412"/>
      <c r="K157" s="412"/>
    </row>
    <row r="158" spans="1:16">
      <c r="A158" s="423">
        <v>1</v>
      </c>
      <c r="B158" s="423"/>
      <c r="C158" s="423"/>
      <c r="D158" s="423">
        <v>2</v>
      </c>
      <c r="E158" s="423"/>
      <c r="F158" s="423"/>
      <c r="G158" s="423"/>
      <c r="H158" s="423">
        <v>3</v>
      </c>
      <c r="I158" s="423"/>
      <c r="J158" s="423"/>
      <c r="K158" s="423"/>
    </row>
    <row r="159" spans="1:16" ht="325.5" customHeight="1">
      <c r="A159" s="396" t="s">
        <v>271</v>
      </c>
      <c r="B159" s="397"/>
      <c r="C159" s="398"/>
      <c r="D159" s="413" t="s">
        <v>327</v>
      </c>
      <c r="E159" s="414"/>
      <c r="F159" s="414"/>
      <c r="G159" s="415"/>
      <c r="H159" s="416" t="s">
        <v>328</v>
      </c>
      <c r="I159" s="417"/>
      <c r="J159" s="417"/>
      <c r="K159" s="418"/>
    </row>
    <row r="160" spans="1:16">
      <c r="A160" s="420"/>
      <c r="B160" s="421"/>
      <c r="C160" s="422"/>
      <c r="D160" s="420"/>
      <c r="E160" s="421"/>
      <c r="F160" s="421"/>
      <c r="G160" s="422"/>
      <c r="H160" s="420"/>
      <c r="I160" s="421"/>
      <c r="J160" s="421"/>
      <c r="K160" s="422"/>
    </row>
    <row r="163" spans="1:16" hidden="1">
      <c r="A163" s="425" t="s">
        <v>50</v>
      </c>
      <c r="B163" s="425"/>
      <c r="C163" s="425"/>
      <c r="D163" s="425"/>
      <c r="E163" s="425"/>
      <c r="F163" s="425"/>
      <c r="G163" s="425"/>
      <c r="H163" s="425"/>
      <c r="I163" s="425"/>
      <c r="J163" s="425"/>
      <c r="K163" s="425"/>
      <c r="L163" s="425"/>
      <c r="M163" s="425"/>
      <c r="N163" s="425"/>
      <c r="O163" s="425"/>
      <c r="P163" s="425"/>
    </row>
    <row r="164" spans="1:16" hidden="1">
      <c r="A164" s="425" t="s">
        <v>8</v>
      </c>
      <c r="B164" s="425"/>
      <c r="C164" s="425"/>
      <c r="D164" s="425"/>
      <c r="E164" s="425"/>
      <c r="F164" s="425"/>
      <c r="G164" s="425"/>
      <c r="H164" s="425"/>
      <c r="I164" s="425"/>
      <c r="J164" s="425"/>
      <c r="K164" s="425"/>
      <c r="L164" s="425"/>
      <c r="M164" s="425"/>
      <c r="N164" s="425"/>
      <c r="O164" s="425"/>
      <c r="P164" s="425"/>
    </row>
    <row r="165" spans="1:16" hidden="1"/>
    <row r="166" spans="1:16" s="18" customFormat="1" hidden="1">
      <c r="A166" s="18" t="s">
        <v>51</v>
      </c>
      <c r="C166" s="445"/>
      <c r="D166" s="445"/>
      <c r="E166" s="445"/>
      <c r="F166" s="445"/>
      <c r="G166" s="445"/>
      <c r="H166" s="445"/>
      <c r="I166" s="445"/>
      <c r="J166" s="445"/>
      <c r="K166" s="445"/>
      <c r="L166" s="445"/>
      <c r="M166" s="19"/>
      <c r="N166" s="19" t="s">
        <v>11</v>
      </c>
      <c r="O166" s="441"/>
      <c r="P166" s="441"/>
    </row>
    <row r="167" spans="1:16" s="18" customFormat="1" hidden="1">
      <c r="A167" s="445"/>
      <c r="B167" s="445"/>
      <c r="C167" s="445"/>
      <c r="D167" s="445"/>
      <c r="E167" s="445"/>
      <c r="F167" s="445"/>
      <c r="G167" s="445"/>
      <c r="H167" s="445"/>
      <c r="I167" s="445"/>
      <c r="J167" s="445"/>
      <c r="K167" s="445"/>
      <c r="L167" s="445"/>
      <c r="M167" s="19"/>
      <c r="N167" s="19" t="s">
        <v>12</v>
      </c>
      <c r="O167" s="441"/>
      <c r="P167" s="441"/>
    </row>
    <row r="168" spans="1:16" s="18" customFormat="1" hidden="1">
      <c r="A168" s="18" t="s">
        <v>52</v>
      </c>
      <c r="D168" s="445"/>
      <c r="E168" s="445"/>
      <c r="F168" s="445"/>
      <c r="G168" s="445"/>
      <c r="H168" s="445"/>
      <c r="I168" s="445"/>
      <c r="J168" s="445"/>
      <c r="K168" s="445"/>
      <c r="L168" s="445"/>
      <c r="M168" s="445"/>
      <c r="N168" s="19" t="s">
        <v>13</v>
      </c>
      <c r="O168" s="441"/>
      <c r="P168" s="441"/>
    </row>
    <row r="169" spans="1:16" s="18" customFormat="1" hidden="1">
      <c r="A169" s="445"/>
      <c r="B169" s="445"/>
      <c r="C169" s="445"/>
      <c r="D169" s="445"/>
      <c r="E169" s="445"/>
      <c r="F169" s="445"/>
      <c r="G169" s="445"/>
      <c r="H169" s="445"/>
      <c r="I169" s="445"/>
      <c r="J169" s="445"/>
      <c r="K169" s="445"/>
      <c r="L169" s="445"/>
      <c r="M169" s="445"/>
      <c r="N169" s="20"/>
    </row>
    <row r="170" spans="1:16" s="18" customFormat="1" hidden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6" s="18" customFormat="1" hidden="1">
      <c r="A171" s="18" t="s">
        <v>53</v>
      </c>
    </row>
    <row r="172" spans="1:16" s="18" customFormat="1" hidden="1"/>
    <row r="173" spans="1:16" s="18" customFormat="1" hidden="1">
      <c r="A173" s="18" t="s">
        <v>54</v>
      </c>
    </row>
    <row r="174" spans="1:16" s="17" customFormat="1" hidden="1"/>
    <row r="175" spans="1:16" s="17" customFormat="1" ht="67.5" hidden="1" customHeight="1">
      <c r="A175" s="433" t="s">
        <v>19</v>
      </c>
      <c r="B175" s="433"/>
      <c r="C175" s="448" t="s">
        <v>55</v>
      </c>
      <c r="D175" s="449"/>
      <c r="E175" s="434"/>
      <c r="F175" s="433" t="s">
        <v>56</v>
      </c>
      <c r="G175" s="433"/>
      <c r="H175" s="433" t="s">
        <v>57</v>
      </c>
      <c r="I175" s="433"/>
      <c r="J175" s="433"/>
      <c r="K175" s="433"/>
      <c r="L175" s="433"/>
      <c r="M175" s="433" t="s">
        <v>58</v>
      </c>
      <c r="N175" s="433"/>
      <c r="O175" s="433"/>
      <c r="P175" s="433"/>
    </row>
    <row r="176" spans="1:16" s="17" customFormat="1" ht="24.75" hidden="1" customHeight="1">
      <c r="A176" s="433"/>
      <c r="B176" s="433"/>
      <c r="C176" s="433" t="s">
        <v>20</v>
      </c>
      <c r="D176" s="433" t="s">
        <v>20</v>
      </c>
      <c r="E176" s="433" t="s">
        <v>20</v>
      </c>
      <c r="F176" s="433" t="s">
        <v>20</v>
      </c>
      <c r="G176" s="433" t="s">
        <v>20</v>
      </c>
      <c r="H176" s="433" t="s">
        <v>26</v>
      </c>
      <c r="I176" s="433"/>
      <c r="J176" s="433" t="s">
        <v>23</v>
      </c>
      <c r="K176" s="433"/>
      <c r="L176" s="433"/>
      <c r="M176" s="465" t="s">
        <v>27</v>
      </c>
      <c r="N176" s="465" t="s">
        <v>28</v>
      </c>
      <c r="O176" s="467" t="s">
        <v>29</v>
      </c>
      <c r="P176" s="468"/>
    </row>
    <row r="177" spans="1:16" s="17" customFormat="1" ht="26.25" hidden="1" customHeight="1">
      <c r="A177" s="433"/>
      <c r="B177" s="433"/>
      <c r="C177" s="433"/>
      <c r="D177" s="433"/>
      <c r="E177" s="433"/>
      <c r="F177" s="433"/>
      <c r="G177" s="433"/>
      <c r="H177" s="433"/>
      <c r="I177" s="433"/>
      <c r="J177" s="471" t="s">
        <v>25</v>
      </c>
      <c r="K177" s="472"/>
      <c r="L177" s="14" t="s">
        <v>24</v>
      </c>
      <c r="M177" s="466"/>
      <c r="N177" s="466"/>
      <c r="O177" s="469"/>
      <c r="P177" s="470"/>
    </row>
    <row r="178" spans="1:16" s="17" customFormat="1" hidden="1">
      <c r="A178" s="461">
        <v>1</v>
      </c>
      <c r="B178" s="461"/>
      <c r="C178" s="11">
        <v>2</v>
      </c>
      <c r="D178" s="11">
        <v>3</v>
      </c>
      <c r="E178" s="11">
        <v>4</v>
      </c>
      <c r="F178" s="11">
        <v>5</v>
      </c>
      <c r="G178" s="11">
        <v>6</v>
      </c>
      <c r="H178" s="461">
        <v>7</v>
      </c>
      <c r="I178" s="461"/>
      <c r="J178" s="462">
        <v>8</v>
      </c>
      <c r="K178" s="463"/>
      <c r="L178" s="11">
        <v>9</v>
      </c>
      <c r="M178" s="11">
        <v>10</v>
      </c>
      <c r="N178" s="11">
        <v>11</v>
      </c>
      <c r="O178" s="464">
        <v>12</v>
      </c>
      <c r="P178" s="464"/>
    </row>
    <row r="179" spans="1:16" s="17" customFormat="1" hidden="1">
      <c r="A179" s="435"/>
      <c r="B179" s="436"/>
      <c r="C179" s="12"/>
      <c r="D179" s="12"/>
      <c r="E179" s="12"/>
      <c r="F179" s="12"/>
      <c r="G179" s="12"/>
      <c r="H179" s="435"/>
      <c r="I179" s="436"/>
      <c r="J179" s="435"/>
      <c r="K179" s="436"/>
      <c r="L179" s="12"/>
      <c r="M179" s="12"/>
      <c r="N179" s="12"/>
      <c r="O179" s="435"/>
      <c r="P179" s="436"/>
    </row>
    <row r="180" spans="1:16" s="17" customFormat="1" hidden="1">
      <c r="A180" s="435"/>
      <c r="B180" s="436"/>
      <c r="C180" s="12"/>
      <c r="D180" s="12"/>
      <c r="E180" s="12"/>
      <c r="F180" s="12"/>
      <c r="G180" s="12"/>
      <c r="H180" s="435"/>
      <c r="I180" s="436"/>
      <c r="J180" s="435"/>
      <c r="K180" s="436"/>
      <c r="L180" s="12"/>
      <c r="M180" s="12"/>
      <c r="N180" s="12"/>
      <c r="O180" s="435"/>
      <c r="P180" s="436"/>
    </row>
    <row r="181" spans="1:16" s="17" customFormat="1" hidden="1">
      <c r="A181" s="435"/>
      <c r="B181" s="436"/>
      <c r="C181" s="12"/>
      <c r="D181" s="12"/>
      <c r="E181" s="12"/>
      <c r="F181" s="12"/>
      <c r="G181" s="12"/>
      <c r="H181" s="435"/>
      <c r="I181" s="436"/>
      <c r="J181" s="435"/>
      <c r="K181" s="436"/>
      <c r="L181" s="12"/>
      <c r="M181" s="12"/>
      <c r="N181" s="12"/>
      <c r="O181" s="435"/>
      <c r="P181" s="436"/>
    </row>
    <row r="182" spans="1:16" s="17" customFormat="1" hidden="1">
      <c r="A182" s="435"/>
      <c r="B182" s="436"/>
      <c r="C182" s="12"/>
      <c r="D182" s="12"/>
      <c r="E182" s="12"/>
      <c r="F182" s="12"/>
      <c r="G182" s="12"/>
      <c r="H182" s="435"/>
      <c r="I182" s="436"/>
      <c r="J182" s="435"/>
      <c r="K182" s="436"/>
      <c r="L182" s="12"/>
      <c r="M182" s="12"/>
      <c r="N182" s="12"/>
      <c r="O182" s="435"/>
      <c r="P182" s="436"/>
    </row>
    <row r="183" spans="1:16" s="17" customFormat="1" hidden="1">
      <c r="A183" s="435"/>
      <c r="B183" s="436"/>
      <c r="C183" s="12"/>
      <c r="D183" s="12"/>
      <c r="E183" s="12"/>
      <c r="F183" s="12"/>
      <c r="G183" s="12"/>
      <c r="H183" s="435"/>
      <c r="I183" s="436"/>
      <c r="J183" s="435"/>
      <c r="K183" s="436"/>
      <c r="L183" s="12"/>
      <c r="M183" s="12"/>
      <c r="N183" s="12"/>
      <c r="O183" s="435"/>
      <c r="P183" s="436"/>
    </row>
    <row r="184" spans="1:16" s="17" customFormat="1" hidden="1">
      <c r="A184" s="435"/>
      <c r="B184" s="436"/>
      <c r="C184" s="12"/>
      <c r="D184" s="12"/>
      <c r="E184" s="12"/>
      <c r="F184" s="12"/>
      <c r="G184" s="12"/>
      <c r="H184" s="435"/>
      <c r="I184" s="436"/>
      <c r="J184" s="435"/>
      <c r="K184" s="436"/>
      <c r="L184" s="12"/>
      <c r="M184" s="12"/>
      <c r="N184" s="12"/>
      <c r="O184" s="435"/>
      <c r="P184" s="436"/>
    </row>
    <row r="185" spans="1:16" s="17" customFormat="1" hidden="1">
      <c r="A185" s="435"/>
      <c r="B185" s="436"/>
      <c r="C185" s="12"/>
      <c r="D185" s="12"/>
      <c r="E185" s="12"/>
      <c r="F185" s="12"/>
      <c r="G185" s="12"/>
      <c r="H185" s="435"/>
      <c r="I185" s="436"/>
      <c r="J185" s="435"/>
      <c r="K185" s="436"/>
      <c r="L185" s="12"/>
      <c r="M185" s="12"/>
      <c r="N185" s="12"/>
      <c r="O185" s="435"/>
      <c r="P185" s="436"/>
    </row>
    <row r="186" spans="1:16" s="17" customFormat="1" hidden="1">
      <c r="A186" s="435"/>
      <c r="B186" s="436"/>
      <c r="C186" s="12"/>
      <c r="D186" s="12"/>
      <c r="E186" s="12"/>
      <c r="F186" s="12"/>
      <c r="G186" s="12"/>
      <c r="H186" s="435"/>
      <c r="I186" s="436"/>
      <c r="J186" s="435"/>
      <c r="K186" s="436"/>
      <c r="L186" s="12"/>
      <c r="M186" s="12"/>
      <c r="N186" s="12"/>
      <c r="O186" s="435"/>
      <c r="P186" s="436"/>
    </row>
    <row r="187" spans="1:16" s="17" customFormat="1" hidden="1"/>
    <row r="188" spans="1:16" s="18" customFormat="1" hidden="1">
      <c r="A188" s="18" t="s">
        <v>59</v>
      </c>
    </row>
    <row r="189" spans="1:16" s="18" customFormat="1" hidden="1">
      <c r="A189" s="18" t="s">
        <v>30</v>
      </c>
      <c r="D189" s="441"/>
    </row>
    <row r="190" spans="1:16" s="18" customFormat="1" hidden="1">
      <c r="D190" s="441"/>
    </row>
    <row r="191" spans="1:16" s="18" customFormat="1" hidden="1"/>
    <row r="192" spans="1:16" s="18" customFormat="1" hidden="1">
      <c r="A192" s="18" t="s">
        <v>60</v>
      </c>
    </row>
    <row r="193" spans="1:16" s="18" customFormat="1" hidden="1"/>
    <row r="194" spans="1:16" s="18" customFormat="1" ht="39.75" hidden="1" customHeight="1">
      <c r="A194" s="433" t="s">
        <v>19</v>
      </c>
      <c r="B194" s="433" t="s">
        <v>55</v>
      </c>
      <c r="C194" s="433"/>
      <c r="D194" s="433"/>
      <c r="E194" s="448" t="s">
        <v>63</v>
      </c>
      <c r="F194" s="449"/>
      <c r="G194" s="434"/>
      <c r="H194" s="433" t="s">
        <v>61</v>
      </c>
      <c r="I194" s="433"/>
      <c r="J194" s="433"/>
      <c r="K194" s="433" t="s">
        <v>62</v>
      </c>
      <c r="L194" s="433"/>
      <c r="M194" s="433"/>
      <c r="N194" s="447"/>
      <c r="O194" s="447"/>
      <c r="P194" s="447"/>
    </row>
    <row r="195" spans="1:16" s="18" customFormat="1" ht="42" hidden="1" customHeight="1">
      <c r="A195" s="433"/>
      <c r="B195" s="433" t="s">
        <v>20</v>
      </c>
      <c r="C195" s="433" t="s">
        <v>20</v>
      </c>
      <c r="D195" s="433" t="s">
        <v>20</v>
      </c>
      <c r="E195" s="434" t="s">
        <v>20</v>
      </c>
      <c r="F195" s="433" t="s">
        <v>20</v>
      </c>
      <c r="G195" s="433" t="s">
        <v>20</v>
      </c>
      <c r="H195" s="433" t="s">
        <v>26</v>
      </c>
      <c r="I195" s="433" t="s">
        <v>23</v>
      </c>
      <c r="J195" s="433"/>
      <c r="K195" s="433" t="s">
        <v>27</v>
      </c>
      <c r="L195" s="433" t="s">
        <v>28</v>
      </c>
      <c r="M195" s="433" t="s">
        <v>29</v>
      </c>
      <c r="N195" s="447"/>
      <c r="O195" s="447"/>
      <c r="P195" s="447"/>
    </row>
    <row r="196" spans="1:16" s="18" customFormat="1" ht="27.75" hidden="1" customHeight="1">
      <c r="A196" s="433"/>
      <c r="B196" s="433"/>
      <c r="C196" s="433"/>
      <c r="D196" s="433"/>
      <c r="E196" s="434"/>
      <c r="F196" s="433"/>
      <c r="G196" s="433"/>
      <c r="H196" s="433"/>
      <c r="I196" s="10" t="s">
        <v>33</v>
      </c>
      <c r="J196" s="14" t="s">
        <v>24</v>
      </c>
      <c r="K196" s="433"/>
      <c r="L196" s="433"/>
      <c r="M196" s="433"/>
      <c r="N196" s="447"/>
      <c r="O196" s="447"/>
      <c r="P196" s="447"/>
    </row>
    <row r="197" spans="1:16" s="18" customFormat="1" hidden="1">
      <c r="A197" s="13">
        <v>1</v>
      </c>
      <c r="B197" s="13">
        <v>2</v>
      </c>
      <c r="C197" s="13">
        <v>3</v>
      </c>
      <c r="D197" s="13">
        <v>4</v>
      </c>
      <c r="E197" s="11">
        <v>4</v>
      </c>
      <c r="F197" s="11">
        <v>5</v>
      </c>
      <c r="G197" s="11">
        <v>6</v>
      </c>
      <c r="H197" s="11">
        <v>7</v>
      </c>
      <c r="I197" s="11">
        <v>8</v>
      </c>
      <c r="J197" s="11">
        <v>9</v>
      </c>
      <c r="K197" s="11">
        <v>10</v>
      </c>
      <c r="L197" s="11">
        <v>11</v>
      </c>
      <c r="M197" s="11">
        <v>12</v>
      </c>
      <c r="N197" s="22"/>
      <c r="O197" s="23"/>
      <c r="P197" s="23"/>
    </row>
    <row r="198" spans="1:16" s="18" customFormat="1" hidden="1">
      <c r="A198" s="15"/>
      <c r="B198" s="15"/>
      <c r="C198" s="12"/>
      <c r="D198" s="12"/>
      <c r="E198" s="12"/>
      <c r="F198" s="12"/>
      <c r="G198" s="12"/>
      <c r="H198" s="15"/>
      <c r="I198" s="15"/>
      <c r="J198" s="12"/>
      <c r="K198" s="12"/>
      <c r="L198" s="12"/>
      <c r="M198" s="12"/>
      <c r="N198" s="24"/>
      <c r="O198" s="20"/>
      <c r="P198" s="20"/>
    </row>
    <row r="199" spans="1:16" s="18" customFormat="1" hidden="1">
      <c r="A199" s="15"/>
      <c r="B199" s="15"/>
      <c r="C199" s="12"/>
      <c r="D199" s="12"/>
      <c r="E199" s="12"/>
      <c r="F199" s="12"/>
      <c r="G199" s="12"/>
      <c r="H199" s="15"/>
      <c r="I199" s="15"/>
      <c r="J199" s="12"/>
      <c r="K199" s="12"/>
      <c r="L199" s="12"/>
      <c r="M199" s="12"/>
      <c r="N199" s="24"/>
      <c r="O199" s="20"/>
      <c r="P199" s="20"/>
    </row>
    <row r="200" spans="1:16" s="18" customFormat="1" hidden="1">
      <c r="A200" s="15"/>
      <c r="B200" s="15"/>
      <c r="C200" s="12"/>
      <c r="D200" s="12"/>
      <c r="E200" s="12"/>
      <c r="F200" s="12"/>
      <c r="G200" s="12"/>
      <c r="H200" s="15"/>
      <c r="I200" s="15"/>
      <c r="J200" s="12"/>
      <c r="K200" s="12"/>
      <c r="L200" s="12"/>
      <c r="M200" s="12"/>
      <c r="N200" s="24"/>
      <c r="O200" s="20"/>
      <c r="P200" s="20"/>
    </row>
    <row r="201" spans="1:16" s="18" customFormat="1" hidden="1">
      <c r="A201" s="15"/>
      <c r="B201" s="15"/>
      <c r="C201" s="12"/>
      <c r="D201" s="12"/>
      <c r="E201" s="12"/>
      <c r="F201" s="12"/>
      <c r="G201" s="12"/>
      <c r="H201" s="15"/>
      <c r="I201" s="15"/>
      <c r="J201" s="12"/>
      <c r="K201" s="12"/>
      <c r="L201" s="12"/>
      <c r="M201" s="12"/>
      <c r="N201" s="24"/>
      <c r="O201" s="20"/>
      <c r="P201" s="20"/>
    </row>
    <row r="202" spans="1:16" s="18" customFormat="1" hidden="1">
      <c r="A202" s="15"/>
      <c r="B202" s="15"/>
      <c r="C202" s="12"/>
      <c r="D202" s="12"/>
      <c r="E202" s="12"/>
      <c r="F202" s="12"/>
      <c r="G202" s="12"/>
      <c r="H202" s="15"/>
      <c r="I202" s="15"/>
      <c r="J202" s="12"/>
      <c r="K202" s="12"/>
      <c r="L202" s="12"/>
      <c r="M202" s="12"/>
      <c r="N202" s="24"/>
      <c r="O202" s="20"/>
      <c r="P202" s="20"/>
    </row>
    <row r="203" spans="1:16" s="18" customFormat="1" hidden="1">
      <c r="A203" s="15"/>
      <c r="B203" s="15"/>
      <c r="C203" s="12"/>
      <c r="D203" s="12"/>
      <c r="E203" s="12"/>
      <c r="F203" s="12"/>
      <c r="G203" s="12"/>
      <c r="H203" s="15"/>
      <c r="I203" s="15"/>
      <c r="J203" s="12"/>
      <c r="K203" s="12"/>
      <c r="L203" s="12"/>
      <c r="M203" s="12"/>
      <c r="N203" s="24"/>
      <c r="O203" s="20"/>
      <c r="P203" s="20"/>
    </row>
    <row r="204" spans="1:16" s="18" customFormat="1" hidden="1">
      <c r="A204" s="15"/>
      <c r="B204" s="15"/>
      <c r="C204" s="12"/>
      <c r="D204" s="12"/>
      <c r="E204" s="12"/>
      <c r="F204" s="12"/>
      <c r="G204" s="12"/>
      <c r="H204" s="15"/>
      <c r="I204" s="15"/>
      <c r="J204" s="12"/>
      <c r="K204" s="12"/>
      <c r="L204" s="12"/>
      <c r="M204" s="12"/>
      <c r="N204" s="24"/>
      <c r="O204" s="20"/>
      <c r="P204" s="20"/>
    </row>
    <row r="205" spans="1:16" s="18" customFormat="1" hidden="1">
      <c r="A205" s="15"/>
      <c r="B205" s="15"/>
      <c r="C205" s="12"/>
      <c r="D205" s="12"/>
      <c r="E205" s="12"/>
      <c r="F205" s="12"/>
      <c r="G205" s="12"/>
      <c r="H205" s="15"/>
      <c r="I205" s="15"/>
      <c r="J205" s="12"/>
      <c r="K205" s="12"/>
      <c r="L205" s="12"/>
      <c r="M205" s="12"/>
      <c r="N205" s="24"/>
      <c r="O205" s="20"/>
      <c r="P205" s="20"/>
    </row>
    <row r="206" spans="1:16" s="18" customFormat="1" hidden="1"/>
    <row r="207" spans="1:16" s="18" customFormat="1" hidden="1">
      <c r="A207" s="18" t="s">
        <v>64</v>
      </c>
    </row>
    <row r="208" spans="1:16" s="18" customFormat="1" hidden="1">
      <c r="A208" s="18" t="s">
        <v>30</v>
      </c>
      <c r="D208" s="441"/>
    </row>
    <row r="209" spans="1:16" s="18" customFormat="1" hidden="1">
      <c r="D209" s="441"/>
    </row>
    <row r="210" spans="1:16" s="18" customFormat="1" hidden="1">
      <c r="A210" s="25" t="s">
        <v>34</v>
      </c>
    </row>
    <row r="211" spans="1:16" s="18" customFormat="1" hidden="1">
      <c r="A211" s="18" t="s">
        <v>35</v>
      </c>
    </row>
    <row r="212" spans="1:16" s="18" customFormat="1" hidden="1">
      <c r="A212" s="18" t="s">
        <v>36</v>
      </c>
    </row>
    <row r="213" spans="1:16" s="17" customFormat="1" hidden="1"/>
    <row r="214" spans="1:16" s="17" customFormat="1" hidden="1"/>
    <row r="215" spans="1:16" s="17" customFormat="1"/>
    <row r="216" spans="1:16" s="17" customFormat="1">
      <c r="A216" s="425" t="s">
        <v>369</v>
      </c>
      <c r="B216" s="425"/>
      <c r="C216" s="425"/>
      <c r="D216" s="425"/>
      <c r="E216" s="425"/>
      <c r="F216" s="425"/>
      <c r="G216" s="425"/>
      <c r="H216" s="425"/>
      <c r="I216" s="425"/>
      <c r="J216" s="425"/>
      <c r="K216" s="425"/>
      <c r="L216" s="425"/>
      <c r="M216" s="425"/>
      <c r="N216" s="425"/>
      <c r="O216" s="425"/>
      <c r="P216" s="425"/>
    </row>
    <row r="217" spans="1:16" s="17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s="17" customFormat="1">
      <c r="A218" s="26" t="s">
        <v>312</v>
      </c>
      <c r="B218" s="3"/>
      <c r="C218" s="3"/>
      <c r="D218" s="3"/>
      <c r="E218" s="3"/>
      <c r="F218" s="3"/>
      <c r="G218" s="3"/>
      <c r="H218" s="7"/>
      <c r="I218" s="405"/>
      <c r="J218" s="405"/>
      <c r="K218" s="405"/>
      <c r="L218" s="405"/>
      <c r="M218" s="405"/>
      <c r="N218" s="405"/>
      <c r="O218" s="405"/>
      <c r="P218" s="3"/>
    </row>
    <row r="219" spans="1:16" s="17" customFormat="1" ht="92.25" customHeight="1">
      <c r="A219" s="446" t="s">
        <v>329</v>
      </c>
      <c r="B219" s="446"/>
      <c r="C219" s="446"/>
      <c r="D219" s="446"/>
      <c r="E219" s="446"/>
      <c r="F219" s="446"/>
      <c r="G219" s="446"/>
      <c r="H219" s="446"/>
      <c r="I219" s="446"/>
      <c r="J219" s="446"/>
      <c r="K219" s="446"/>
      <c r="L219" s="446"/>
      <c r="M219" s="446"/>
      <c r="N219" s="446"/>
      <c r="O219" s="446"/>
      <c r="P219" s="362"/>
    </row>
    <row r="220" spans="1:16" s="17" customFormat="1" ht="8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s="17" customFormat="1">
      <c r="A221" s="26" t="s">
        <v>65</v>
      </c>
      <c r="B221" s="3"/>
      <c r="C221" s="3"/>
      <c r="D221" s="3"/>
      <c r="E221" s="3"/>
      <c r="F221" s="3"/>
      <c r="G221" s="3"/>
      <c r="H221" s="3"/>
      <c r="I221" s="3"/>
      <c r="J221" s="405"/>
      <c r="K221" s="405"/>
      <c r="L221" s="405"/>
      <c r="M221" s="405"/>
      <c r="N221" s="405"/>
      <c r="O221" s="405"/>
      <c r="P221" s="3"/>
    </row>
    <row r="222" spans="1:16" s="17" customFormat="1" ht="48" customHeight="1">
      <c r="A222" s="446" t="s">
        <v>330</v>
      </c>
      <c r="B222" s="456"/>
      <c r="C222" s="456"/>
      <c r="D222" s="456"/>
      <c r="E222" s="456"/>
      <c r="F222" s="456"/>
      <c r="G222" s="456"/>
      <c r="H222" s="456"/>
      <c r="I222" s="456"/>
      <c r="J222" s="456"/>
      <c r="K222" s="456"/>
      <c r="L222" s="456"/>
      <c r="M222" s="456"/>
      <c r="N222" s="456"/>
      <c r="O222" s="456"/>
      <c r="P222" s="362"/>
    </row>
    <row r="223" spans="1:16" s="17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s="18" customFormat="1">
      <c r="A224" s="18" t="s">
        <v>66</v>
      </c>
    </row>
    <row r="225" spans="1:15" s="18" customFormat="1"/>
    <row r="226" spans="1:15" s="18" customFormat="1" ht="46.5" customHeight="1">
      <c r="A226" s="441" t="s">
        <v>67</v>
      </c>
      <c r="B226" s="441"/>
      <c r="C226" s="441"/>
      <c r="D226" s="441" t="s">
        <v>68</v>
      </c>
      <c r="E226" s="441"/>
      <c r="F226" s="441"/>
      <c r="G226" s="441"/>
      <c r="H226" s="457" t="s">
        <v>307</v>
      </c>
      <c r="I226" s="457"/>
      <c r="J226" s="457"/>
      <c r="K226" s="457"/>
      <c r="L226" s="457"/>
      <c r="M226" s="457"/>
    </row>
    <row r="227" spans="1:15" s="18" customFormat="1">
      <c r="A227" s="444">
        <v>1</v>
      </c>
      <c r="B227" s="444"/>
      <c r="C227" s="444"/>
      <c r="D227" s="444">
        <v>2</v>
      </c>
      <c r="E227" s="444"/>
      <c r="F227" s="444"/>
      <c r="G227" s="444"/>
      <c r="H227" s="444">
        <v>3</v>
      </c>
      <c r="I227" s="444"/>
      <c r="J227" s="444"/>
      <c r="K227" s="444"/>
      <c r="L227" s="444"/>
      <c r="M227" s="444"/>
    </row>
    <row r="228" spans="1:15" s="18" customFormat="1">
      <c r="A228" s="450" t="s">
        <v>331</v>
      </c>
      <c r="B228" s="445"/>
      <c r="C228" s="451"/>
      <c r="D228" s="452" t="s">
        <v>332</v>
      </c>
      <c r="E228" s="453"/>
      <c r="F228" s="453"/>
      <c r="G228" s="454"/>
      <c r="H228" s="441" t="s">
        <v>270</v>
      </c>
      <c r="I228" s="441"/>
      <c r="J228" s="441"/>
      <c r="K228" s="441"/>
      <c r="L228" s="441"/>
      <c r="M228" s="441"/>
    </row>
    <row r="229" spans="1:15" s="18" customFormat="1">
      <c r="A229" s="435"/>
      <c r="B229" s="455"/>
      <c r="C229" s="436"/>
      <c r="D229" s="435"/>
      <c r="E229" s="455"/>
      <c r="F229" s="455"/>
      <c r="G229" s="436"/>
      <c r="H229" s="441"/>
      <c r="I229" s="441"/>
      <c r="J229" s="441"/>
      <c r="K229" s="441"/>
      <c r="L229" s="441"/>
      <c r="M229" s="441"/>
    </row>
    <row r="230" spans="1:15" s="17" customFormat="1"/>
    <row r="231" spans="1:15" s="17" customFormat="1"/>
    <row r="232" spans="1:15" ht="63" customHeight="1">
      <c r="A232" s="1" t="s">
        <v>69</v>
      </c>
      <c r="G232" s="458" t="s">
        <v>317</v>
      </c>
      <c r="H232" s="458"/>
      <c r="I232" s="458"/>
      <c r="J232" s="458"/>
      <c r="K232" s="458"/>
      <c r="L232" s="458"/>
      <c r="M232" s="458"/>
      <c r="N232" s="458"/>
      <c r="O232" s="458"/>
    </row>
    <row r="233" spans="1:15">
      <c r="A233" s="1" t="s">
        <v>70</v>
      </c>
      <c r="H233" s="405" t="s">
        <v>285</v>
      </c>
      <c r="I233" s="405"/>
      <c r="J233" s="405"/>
      <c r="K233" s="405"/>
      <c r="L233" s="405"/>
      <c r="M233" s="405"/>
      <c r="N233" s="405"/>
      <c r="O233" s="405"/>
    </row>
    <row r="234" spans="1:15" ht="28.5" customHeight="1">
      <c r="A234" s="1" t="s">
        <v>71</v>
      </c>
      <c r="G234" s="459" t="s">
        <v>318</v>
      </c>
      <c r="H234" s="460"/>
      <c r="I234" s="460"/>
      <c r="J234" s="460"/>
      <c r="K234" s="460"/>
      <c r="L234" s="460"/>
      <c r="M234" s="460"/>
      <c r="N234" s="460"/>
      <c r="O234" s="460"/>
    </row>
    <row r="235" spans="1:15" s="369" customFormat="1" ht="17.25" customHeight="1">
      <c r="A235" s="369" t="s">
        <v>333</v>
      </c>
      <c r="G235" s="370"/>
      <c r="H235" s="371"/>
      <c r="I235" s="371"/>
      <c r="J235" s="371"/>
      <c r="K235" s="371"/>
      <c r="L235" s="371"/>
      <c r="M235" s="371"/>
      <c r="N235" s="371"/>
      <c r="O235" s="371"/>
    </row>
    <row r="236" spans="1:15" s="369" customFormat="1" ht="17.25" customHeight="1">
      <c r="G236" s="370"/>
      <c r="H236" s="371"/>
      <c r="I236" s="371"/>
      <c r="J236" s="371"/>
      <c r="K236" s="371"/>
      <c r="L236" s="371"/>
      <c r="M236" s="371"/>
      <c r="N236" s="371"/>
      <c r="O236" s="371"/>
    </row>
    <row r="237" spans="1:15">
      <c r="A237" s="1" t="s">
        <v>72</v>
      </c>
      <c r="G237" s="405"/>
      <c r="H237" s="421"/>
      <c r="I237" s="421"/>
      <c r="J237" s="421"/>
      <c r="K237" s="421"/>
      <c r="L237" s="421"/>
      <c r="M237" s="421"/>
      <c r="N237" s="421"/>
      <c r="O237" s="421"/>
    </row>
    <row r="238" spans="1:15">
      <c r="A238" s="405"/>
      <c r="B238" s="405"/>
      <c r="C238" s="405"/>
      <c r="D238" s="405"/>
      <c r="E238" s="405"/>
      <c r="F238" s="405"/>
      <c r="G238" s="405"/>
      <c r="H238" s="405"/>
      <c r="I238" s="405"/>
      <c r="J238" s="405"/>
      <c r="K238" s="405"/>
      <c r="L238" s="405"/>
      <c r="M238" s="405"/>
      <c r="N238" s="405"/>
      <c r="O238" s="405"/>
    </row>
    <row r="240" spans="1:15">
      <c r="A240" s="1" t="s">
        <v>348</v>
      </c>
      <c r="G240" s="405"/>
      <c r="H240" s="405"/>
      <c r="I240" s="405"/>
      <c r="J240" s="405"/>
      <c r="K240" s="405"/>
      <c r="L240" s="405"/>
      <c r="M240" s="405"/>
      <c r="N240" s="405"/>
      <c r="O240" s="405"/>
    </row>
    <row r="241" spans="1:18">
      <c r="A241" s="405"/>
      <c r="B241" s="405"/>
      <c r="C241" s="405"/>
      <c r="D241" s="405"/>
      <c r="E241" s="405"/>
      <c r="F241" s="405"/>
      <c r="G241" s="405"/>
      <c r="H241" s="405"/>
      <c r="I241" s="405"/>
      <c r="J241" s="405"/>
      <c r="K241" s="405"/>
      <c r="L241" s="405"/>
      <c r="M241" s="405"/>
      <c r="N241" s="405"/>
      <c r="O241" s="405"/>
    </row>
    <row r="244" spans="1:18" ht="12.6" customHeight="1"/>
    <row r="245" spans="1:18" s="382" customFormat="1" ht="11.25" customHeight="1">
      <c r="A245" s="495" t="s">
        <v>349</v>
      </c>
      <c r="B245" s="495"/>
      <c r="C245" s="495"/>
      <c r="D245" s="495"/>
      <c r="E245" s="495"/>
      <c r="F245" s="495"/>
      <c r="G245" s="495"/>
      <c r="H245" s="495"/>
      <c r="I245" s="495"/>
      <c r="J245" s="495"/>
      <c r="K245" s="495"/>
      <c r="L245" s="495"/>
      <c r="M245" s="495"/>
      <c r="N245" s="495"/>
      <c r="O245" s="495"/>
      <c r="P245" s="495"/>
      <c r="Q245" s="495"/>
      <c r="R245" s="495"/>
    </row>
    <row r="246" spans="1:18" s="382" customFormat="1" ht="24.75" customHeight="1">
      <c r="A246" s="496" t="s">
        <v>350</v>
      </c>
      <c r="B246" s="496"/>
      <c r="C246" s="496"/>
      <c r="D246" s="496"/>
      <c r="E246" s="496"/>
      <c r="F246" s="496"/>
      <c r="G246" s="496"/>
      <c r="H246" s="496"/>
      <c r="I246" s="496"/>
      <c r="J246" s="496"/>
      <c r="K246" s="496"/>
      <c r="L246" s="496"/>
      <c r="M246" s="496"/>
      <c r="N246" s="496"/>
      <c r="O246" s="496"/>
      <c r="P246" s="496"/>
      <c r="Q246" s="496"/>
      <c r="R246" s="496"/>
    </row>
    <row r="247" spans="1:18" s="382" customFormat="1" ht="35.25" customHeight="1">
      <c r="A247" s="497" t="s">
        <v>351</v>
      </c>
      <c r="B247" s="497"/>
      <c r="C247" s="497"/>
      <c r="D247" s="497"/>
      <c r="E247" s="497"/>
      <c r="F247" s="497"/>
      <c r="G247" s="497"/>
      <c r="H247" s="497"/>
      <c r="I247" s="497"/>
      <c r="J247" s="497"/>
      <c r="K247" s="497"/>
      <c r="L247" s="497"/>
      <c r="M247" s="497"/>
      <c r="N247" s="497"/>
      <c r="O247" s="497"/>
      <c r="P247" s="497"/>
      <c r="Q247" s="497"/>
      <c r="R247" s="497"/>
    </row>
    <row r="248" spans="1:18" s="382" customFormat="1" ht="12">
      <c r="A248" s="382" t="s">
        <v>352</v>
      </c>
    </row>
    <row r="249" spans="1:18" s="382" customFormat="1" ht="12">
      <c r="A249" s="382" t="s">
        <v>353</v>
      </c>
    </row>
    <row r="250" spans="1:18" s="382" customFormat="1" ht="29.25" customHeight="1">
      <c r="A250" s="497" t="s">
        <v>354</v>
      </c>
      <c r="B250" s="497"/>
      <c r="C250" s="497"/>
      <c r="D250" s="497"/>
      <c r="E250" s="497"/>
      <c r="F250" s="497"/>
      <c r="G250" s="497"/>
      <c r="H250" s="497"/>
      <c r="I250" s="497"/>
      <c r="J250" s="497"/>
      <c r="K250" s="497"/>
      <c r="L250" s="497"/>
      <c r="M250" s="497"/>
      <c r="N250" s="497"/>
      <c r="O250" s="497"/>
      <c r="P250" s="497"/>
      <c r="Q250" s="497"/>
      <c r="R250" s="497"/>
    </row>
    <row r="251" spans="1:18" s="382" customFormat="1" ht="29.25" customHeight="1">
      <c r="A251" s="497" t="s">
        <v>355</v>
      </c>
      <c r="B251" s="497"/>
      <c r="C251" s="497"/>
      <c r="D251" s="497"/>
      <c r="E251" s="497"/>
      <c r="F251" s="497"/>
      <c r="G251" s="497"/>
      <c r="H251" s="497"/>
      <c r="I251" s="497"/>
      <c r="J251" s="497"/>
      <c r="K251" s="497"/>
      <c r="L251" s="497"/>
      <c r="M251" s="497"/>
      <c r="N251" s="497"/>
      <c r="O251" s="497"/>
      <c r="P251" s="497"/>
      <c r="Q251" s="497"/>
      <c r="R251" s="497"/>
    </row>
    <row r="252" spans="1:18" s="382" customFormat="1" ht="12">
      <c r="A252" s="382" t="s">
        <v>356</v>
      </c>
    </row>
    <row r="253" spans="1:18" s="382" customFormat="1" ht="73.5" customHeight="1">
      <c r="A253" s="497" t="s">
        <v>357</v>
      </c>
      <c r="B253" s="497"/>
      <c r="C253" s="497"/>
      <c r="D253" s="497"/>
      <c r="E253" s="497"/>
      <c r="F253" s="497"/>
      <c r="G253" s="497"/>
      <c r="H253" s="497"/>
      <c r="I253" s="497"/>
      <c r="J253" s="497"/>
      <c r="K253" s="497"/>
      <c r="L253" s="497"/>
      <c r="M253" s="497"/>
      <c r="N253" s="497"/>
      <c r="O253" s="497"/>
      <c r="P253" s="497"/>
      <c r="Q253" s="497"/>
      <c r="R253" s="497"/>
    </row>
  </sheetData>
  <mergeCells count="322">
    <mergeCell ref="A245:R245"/>
    <mergeCell ref="A246:R246"/>
    <mergeCell ref="A247:R247"/>
    <mergeCell ref="A250:R250"/>
    <mergeCell ref="A251:R251"/>
    <mergeCell ref="A253:R253"/>
    <mergeCell ref="B138:D138"/>
    <mergeCell ref="G138:M138"/>
    <mergeCell ref="A97:N97"/>
    <mergeCell ref="A106:B106"/>
    <mergeCell ref="A103:B105"/>
    <mergeCell ref="A122:B122"/>
    <mergeCell ref="A123:B123"/>
    <mergeCell ref="A124:B124"/>
    <mergeCell ref="A148:M148"/>
    <mergeCell ref="Q104:Q105"/>
    <mergeCell ref="R104:R105"/>
    <mergeCell ref="Q118:R118"/>
    <mergeCell ref="Q119:Q120"/>
    <mergeCell ref="R119:R120"/>
    <mergeCell ref="I218:O218"/>
    <mergeCell ref="A137:M137"/>
    <mergeCell ref="B139:D139"/>
    <mergeCell ref="G139:M139"/>
    <mergeCell ref="D119:D120"/>
    <mergeCell ref="E119:E120"/>
    <mergeCell ref="Q48:R48"/>
    <mergeCell ref="Q49:Q50"/>
    <mergeCell ref="R49:R50"/>
    <mergeCell ref="Q103:R103"/>
    <mergeCell ref="O119:O120"/>
    <mergeCell ref="P119:P120"/>
    <mergeCell ref="M119:M120"/>
    <mergeCell ref="N119:N120"/>
    <mergeCell ref="L119:L120"/>
    <mergeCell ref="I119:J119"/>
    <mergeCell ref="K119:K120"/>
    <mergeCell ref="M104:M105"/>
    <mergeCell ref="N104:N105"/>
    <mergeCell ref="O104:P105"/>
    <mergeCell ref="A79:M79"/>
    <mergeCell ref="A51:B51"/>
    <mergeCell ref="G66:M66"/>
    <mergeCell ref="B67:D67"/>
    <mergeCell ref="A96:N96"/>
    <mergeCell ref="O106:P106"/>
    <mergeCell ref="J106:K106"/>
    <mergeCell ref="O93:P95"/>
    <mergeCell ref="F103:G103"/>
    <mergeCell ref="F104:F105"/>
    <mergeCell ref="G104:G105"/>
    <mergeCell ref="M103:P103"/>
    <mergeCell ref="H103:L103"/>
    <mergeCell ref="H104:I105"/>
    <mergeCell ref="J104:L104"/>
    <mergeCell ref="J105:K105"/>
    <mergeCell ref="M93:N95"/>
    <mergeCell ref="O40:P40"/>
    <mergeCell ref="A41:B41"/>
    <mergeCell ref="H41:I41"/>
    <mergeCell ref="J41:K41"/>
    <mergeCell ref="M26:N28"/>
    <mergeCell ref="O41:P41"/>
    <mergeCell ref="J37:L37"/>
    <mergeCell ref="Q36:R36"/>
    <mergeCell ref="Q37:Q38"/>
    <mergeCell ref="R37:R38"/>
    <mergeCell ref="M37:M38"/>
    <mergeCell ref="H40:I40"/>
    <mergeCell ref="J40:K40"/>
    <mergeCell ref="A8:P8"/>
    <mergeCell ref="A9:P9"/>
    <mergeCell ref="O12:P12"/>
    <mergeCell ref="O11:P11"/>
    <mergeCell ref="M11:N11"/>
    <mergeCell ref="O10:P10"/>
    <mergeCell ref="O17:P17"/>
    <mergeCell ref="O18:P19"/>
    <mergeCell ref="M14:N14"/>
    <mergeCell ref="A17:L17"/>
    <mergeCell ref="A19:L19"/>
    <mergeCell ref="A14:L14"/>
    <mergeCell ref="A16:L16"/>
    <mergeCell ref="O15:P15"/>
    <mergeCell ref="O16:P16"/>
    <mergeCell ref="M12:N12"/>
    <mergeCell ref="M13:N13"/>
    <mergeCell ref="O14:P14"/>
    <mergeCell ref="O13:P13"/>
    <mergeCell ref="A23:P23"/>
    <mergeCell ref="A20:J20"/>
    <mergeCell ref="C36:E36"/>
    <mergeCell ref="F36:G36"/>
    <mergeCell ref="H36:L36"/>
    <mergeCell ref="M36:P36"/>
    <mergeCell ref="A152:L152"/>
    <mergeCell ref="A157:C157"/>
    <mergeCell ref="D157:G157"/>
    <mergeCell ref="H157:K157"/>
    <mergeCell ref="G141:M141"/>
    <mergeCell ref="O37:P38"/>
    <mergeCell ref="J38:K38"/>
    <mergeCell ref="A39:B39"/>
    <mergeCell ref="H39:I39"/>
    <mergeCell ref="J39:K39"/>
    <mergeCell ref="O39:P39"/>
    <mergeCell ref="C37:C38"/>
    <mergeCell ref="D37:D38"/>
    <mergeCell ref="E37:E38"/>
    <mergeCell ref="F37:F38"/>
    <mergeCell ref="G37:G38"/>
    <mergeCell ref="H37:I38"/>
    <mergeCell ref="A40:B40"/>
    <mergeCell ref="M175:P175"/>
    <mergeCell ref="H159:K159"/>
    <mergeCell ref="H160:K160"/>
    <mergeCell ref="A163:P163"/>
    <mergeCell ref="A164:P164"/>
    <mergeCell ref="A159:C159"/>
    <mergeCell ref="A160:C160"/>
    <mergeCell ref="D159:G159"/>
    <mergeCell ref="D160:G160"/>
    <mergeCell ref="A175:B177"/>
    <mergeCell ref="C175:E175"/>
    <mergeCell ref="J176:L176"/>
    <mergeCell ref="M176:M177"/>
    <mergeCell ref="N176:N177"/>
    <mergeCell ref="O176:P177"/>
    <mergeCell ref="J177:K177"/>
    <mergeCell ref="O166:P168"/>
    <mergeCell ref="A167:L167"/>
    <mergeCell ref="O180:P180"/>
    <mergeCell ref="A178:B178"/>
    <mergeCell ref="H178:I178"/>
    <mergeCell ref="J178:K178"/>
    <mergeCell ref="O178:P178"/>
    <mergeCell ref="C176:C177"/>
    <mergeCell ref="D176:D177"/>
    <mergeCell ref="E176:E177"/>
    <mergeCell ref="F176:F177"/>
    <mergeCell ref="G176:G177"/>
    <mergeCell ref="H176:I177"/>
    <mergeCell ref="A228:C228"/>
    <mergeCell ref="D228:G228"/>
    <mergeCell ref="A229:C229"/>
    <mergeCell ref="D229:G229"/>
    <mergeCell ref="H228:M228"/>
    <mergeCell ref="H229:M229"/>
    <mergeCell ref="A241:O241"/>
    <mergeCell ref="N195:N196"/>
    <mergeCell ref="O195:O196"/>
    <mergeCell ref="D208:D209"/>
    <mergeCell ref="A222:O222"/>
    <mergeCell ref="B195:B196"/>
    <mergeCell ref="C195:C196"/>
    <mergeCell ref="D227:G227"/>
    <mergeCell ref="H226:M226"/>
    <mergeCell ref="H227:M227"/>
    <mergeCell ref="I195:J195"/>
    <mergeCell ref="K195:K196"/>
    <mergeCell ref="G237:O237"/>
    <mergeCell ref="A238:O238"/>
    <mergeCell ref="G240:O240"/>
    <mergeCell ref="H233:O233"/>
    <mergeCell ref="G232:O232"/>
    <mergeCell ref="G234:O234"/>
    <mergeCell ref="A226:C226"/>
    <mergeCell ref="D226:G226"/>
    <mergeCell ref="A227:C227"/>
    <mergeCell ref="C166:L166"/>
    <mergeCell ref="D168:M168"/>
    <mergeCell ref="A169:M169"/>
    <mergeCell ref="A216:P216"/>
    <mergeCell ref="A219:O219"/>
    <mergeCell ref="P195:P196"/>
    <mergeCell ref="D189:D190"/>
    <mergeCell ref="J221:O221"/>
    <mergeCell ref="A194:A196"/>
    <mergeCell ref="B194:D194"/>
    <mergeCell ref="E194:G194"/>
    <mergeCell ref="H194:J194"/>
    <mergeCell ref="K194:M194"/>
    <mergeCell ref="L195:L196"/>
    <mergeCell ref="M195:M196"/>
    <mergeCell ref="F195:F196"/>
    <mergeCell ref="G195:G196"/>
    <mergeCell ref="H195:H196"/>
    <mergeCell ref="A185:B185"/>
    <mergeCell ref="H185:I185"/>
    <mergeCell ref="N194:P194"/>
    <mergeCell ref="A186:B186"/>
    <mergeCell ref="H186:I186"/>
    <mergeCell ref="J186:K186"/>
    <mergeCell ref="O186:P186"/>
    <mergeCell ref="A183:B183"/>
    <mergeCell ref="H183:I183"/>
    <mergeCell ref="J183:K183"/>
    <mergeCell ref="O183:P183"/>
    <mergeCell ref="A184:B184"/>
    <mergeCell ref="H184:I184"/>
    <mergeCell ref="J184:K184"/>
    <mergeCell ref="O184:P184"/>
    <mergeCell ref="A24:P24"/>
    <mergeCell ref="E26:L26"/>
    <mergeCell ref="O26:P28"/>
    <mergeCell ref="A27:L27"/>
    <mergeCell ref="A29:N29"/>
    <mergeCell ref="A30:N30"/>
    <mergeCell ref="A36:B38"/>
    <mergeCell ref="J185:K185"/>
    <mergeCell ref="O185:P185"/>
    <mergeCell ref="N37:N38"/>
    <mergeCell ref="A181:B181"/>
    <mergeCell ref="H181:I181"/>
    <mergeCell ref="J181:K181"/>
    <mergeCell ref="O181:P181"/>
    <mergeCell ref="A182:B182"/>
    <mergeCell ref="H182:I182"/>
    <mergeCell ref="J182:K182"/>
    <mergeCell ref="O182:P182"/>
    <mergeCell ref="A179:B179"/>
    <mergeCell ref="H179:I179"/>
    <mergeCell ref="J179:K179"/>
    <mergeCell ref="O179:P179"/>
    <mergeCell ref="A180:B180"/>
    <mergeCell ref="H180:I180"/>
    <mergeCell ref="H119:H120"/>
    <mergeCell ref="H107:I107"/>
    <mergeCell ref="H108:I108"/>
    <mergeCell ref="H109:I109"/>
    <mergeCell ref="H110:I110"/>
    <mergeCell ref="J107:K107"/>
    <mergeCell ref="J108:K108"/>
    <mergeCell ref="J109:K109"/>
    <mergeCell ref="D195:D196"/>
    <mergeCell ref="E195:E196"/>
    <mergeCell ref="J180:K180"/>
    <mergeCell ref="F175:G175"/>
    <mergeCell ref="H175:L175"/>
    <mergeCell ref="B140:D140"/>
    <mergeCell ref="B141:D141"/>
    <mergeCell ref="G140:M140"/>
    <mergeCell ref="A149:M149"/>
    <mergeCell ref="A150:M150"/>
    <mergeCell ref="A158:C158"/>
    <mergeCell ref="D158:G158"/>
    <mergeCell ref="H158:K158"/>
    <mergeCell ref="F119:F120"/>
    <mergeCell ref="G119:G120"/>
    <mergeCell ref="C119:C120"/>
    <mergeCell ref="N48:P48"/>
    <mergeCell ref="C49:C50"/>
    <mergeCell ref="D49:D50"/>
    <mergeCell ref="E49:E50"/>
    <mergeCell ref="F49:F50"/>
    <mergeCell ref="O107:P107"/>
    <mergeCell ref="O110:P110"/>
    <mergeCell ref="N118:P118"/>
    <mergeCell ref="H118:J118"/>
    <mergeCell ref="O108:P108"/>
    <mergeCell ref="O109:P109"/>
    <mergeCell ref="H48:J48"/>
    <mergeCell ref="N49:N50"/>
    <mergeCell ref="O49:O50"/>
    <mergeCell ref="P49:P50"/>
    <mergeCell ref="A65:M65"/>
    <mergeCell ref="A48:B50"/>
    <mergeCell ref="G67:M67"/>
    <mergeCell ref="B68:D68"/>
    <mergeCell ref="G68:M68"/>
    <mergeCell ref="K49:K50"/>
    <mergeCell ref="A52:B52"/>
    <mergeCell ref="A53:B53"/>
    <mergeCell ref="K48:M48"/>
    <mergeCell ref="A151:M151"/>
    <mergeCell ref="A147:P147"/>
    <mergeCell ref="A75:P75"/>
    <mergeCell ref="B66:D66"/>
    <mergeCell ref="D88:G88"/>
    <mergeCell ref="H88:K88"/>
    <mergeCell ref="B69:D69"/>
    <mergeCell ref="G69:M69"/>
    <mergeCell ref="A81:L81"/>
    <mergeCell ref="A89:C89"/>
    <mergeCell ref="D89:G89"/>
    <mergeCell ref="H89:K89"/>
    <mergeCell ref="A86:C86"/>
    <mergeCell ref="D86:G86"/>
    <mergeCell ref="H86:K86"/>
    <mergeCell ref="A87:C87"/>
    <mergeCell ref="D87:G87"/>
    <mergeCell ref="H87:K87"/>
    <mergeCell ref="J110:K110"/>
    <mergeCell ref="K118:M118"/>
    <mergeCell ref="A91:P91"/>
    <mergeCell ref="A121:B121"/>
    <mergeCell ref="A125:B125"/>
    <mergeCell ref="A118:B120"/>
    <mergeCell ref="A88:C88"/>
    <mergeCell ref="F118:G118"/>
    <mergeCell ref="C103:E103"/>
    <mergeCell ref="C104:C105"/>
    <mergeCell ref="D104:D105"/>
    <mergeCell ref="E104:E105"/>
    <mergeCell ref="C48:E48"/>
    <mergeCell ref="F48:G48"/>
    <mergeCell ref="A76:M76"/>
    <mergeCell ref="E93:L93"/>
    <mergeCell ref="A94:L94"/>
    <mergeCell ref="H106:I106"/>
    <mergeCell ref="G49:G50"/>
    <mergeCell ref="H49:H50"/>
    <mergeCell ref="I49:J49"/>
    <mergeCell ref="L49:L50"/>
    <mergeCell ref="M49:M50"/>
    <mergeCell ref="C118:E118"/>
    <mergeCell ref="A107:B107"/>
    <mergeCell ref="A108:B108"/>
    <mergeCell ref="A110:B110"/>
    <mergeCell ref="A109:B109"/>
    <mergeCell ref="A77:M77"/>
    <mergeCell ref="A78:M78"/>
  </mergeCells>
  <pageMargins left="0.16" right="0.16" top="0.33" bottom="0.32" header="0.28000000000000003" footer="0.28999999999999998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D144"/>
  <sheetViews>
    <sheetView tabSelected="1" view="pageBreakPreview" topLeftCell="A4" zoomScale="80" zoomScaleSheetLayoutView="80" workbookViewId="0">
      <pane xSplit="2" ySplit="2" topLeftCell="C124" activePane="bottomRight" state="frozen"/>
      <selection activeCell="A4" sqref="A4"/>
      <selection pane="topRight" activeCell="C4" sqref="C4"/>
      <selection pane="bottomLeft" activeCell="A6" sqref="A6"/>
      <selection pane="bottomRight" activeCell="L142" sqref="L142"/>
    </sheetView>
  </sheetViews>
  <sheetFormatPr defaultColWidth="9.140625" defaultRowHeight="12.75"/>
  <cols>
    <col min="1" max="1" width="30" style="84" customWidth="1"/>
    <col min="2" max="2" width="10" style="84" customWidth="1"/>
    <col min="3" max="3" width="19" style="84" hidden="1" customWidth="1"/>
    <col min="4" max="4" width="17.42578125" style="84" hidden="1" customWidth="1"/>
    <col min="5" max="5" width="20.42578125" style="84" customWidth="1"/>
    <col min="6" max="6" width="19.5703125" style="86" customWidth="1"/>
    <col min="7" max="7" width="18.28515625" style="86" hidden="1" customWidth="1"/>
    <col min="8" max="8" width="16.7109375" style="86" customWidth="1"/>
    <col min="9" max="9" width="16.140625" style="86" customWidth="1"/>
    <col min="10" max="12" width="15.140625" style="86" customWidth="1"/>
    <col min="13" max="82" width="9.140625" style="86"/>
    <col min="83" max="16384" width="9.140625" style="84"/>
  </cols>
  <sheetData>
    <row r="1" spans="1:11" ht="36.75" customHeight="1">
      <c r="A1" s="557" t="s">
        <v>178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</row>
    <row r="2" spans="1:11" ht="37.5" customHeight="1">
      <c r="A2" s="555" t="s">
        <v>274</v>
      </c>
      <c r="B2" s="555"/>
      <c r="C2" s="555"/>
      <c r="D2" s="562" t="str">
        <f>мун.зад.!A14</f>
        <v>Муниципальное бюджетное дошкольное образовательное учреждение детский сад № 52 г. Пензы "Полянка"</v>
      </c>
      <c r="E2" s="562"/>
      <c r="F2" s="562"/>
      <c r="G2" s="562"/>
      <c r="H2" s="562"/>
      <c r="I2" s="562"/>
      <c r="J2" s="562"/>
      <c r="K2" s="562"/>
    </row>
    <row r="3" spans="1:11" ht="60" customHeight="1">
      <c r="A3" s="558" t="s">
        <v>266</v>
      </c>
      <c r="B3" s="559"/>
      <c r="C3" s="560"/>
      <c r="D3" s="160" t="s">
        <v>101</v>
      </c>
      <c r="E3" s="160" t="s">
        <v>260</v>
      </c>
      <c r="F3" s="160" t="s">
        <v>261</v>
      </c>
      <c r="G3" s="161" t="s">
        <v>268</v>
      </c>
      <c r="H3" s="161" t="s">
        <v>262</v>
      </c>
      <c r="I3" s="161" t="s">
        <v>263</v>
      </c>
      <c r="J3" s="161" t="s">
        <v>264</v>
      </c>
      <c r="K3" s="161" t="s">
        <v>265</v>
      </c>
    </row>
    <row r="4" spans="1:11" ht="40.5" customHeight="1">
      <c r="A4" s="561" t="s">
        <v>179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</row>
    <row r="5" spans="1:11" ht="40.5" customHeight="1">
      <c r="A5" s="162" t="s">
        <v>267</v>
      </c>
      <c r="B5" s="129"/>
      <c r="C5" s="193"/>
      <c r="D5" s="129">
        <f>'проверка 2019'!I12+'проверка 2019'!J12</f>
        <v>951</v>
      </c>
      <c r="E5" s="129">
        <f>'проверка 2019'!I12</f>
        <v>115</v>
      </c>
      <c r="F5" s="129">
        <f>'проверка 2019'!J12</f>
        <v>836</v>
      </c>
      <c r="G5" s="129">
        <f>SUM(H5:K5)</f>
        <v>951</v>
      </c>
      <c r="H5" s="129">
        <f>'проверка 2019'!H24</f>
        <v>115</v>
      </c>
      <c r="I5" s="129">
        <f>'проверка 2019'!I24</f>
        <v>828</v>
      </c>
      <c r="J5" s="129">
        <f>'проверка 2019'!J24</f>
        <v>0</v>
      </c>
      <c r="K5" s="129">
        <f>'проверка 2019'!K24</f>
        <v>8</v>
      </c>
    </row>
    <row r="6" spans="1:11" ht="9" customHeight="1">
      <c r="A6" s="174"/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69" customHeight="1">
      <c r="A7" s="175" t="s">
        <v>180</v>
      </c>
      <c r="B7" s="175" t="s">
        <v>181</v>
      </c>
      <c r="C7" s="175" t="s">
        <v>183</v>
      </c>
      <c r="D7" s="175" t="s">
        <v>183</v>
      </c>
      <c r="E7" s="175" t="s">
        <v>182</v>
      </c>
      <c r="F7" s="175" t="s">
        <v>182</v>
      </c>
      <c r="G7" s="175" t="s">
        <v>183</v>
      </c>
      <c r="H7" s="175" t="s">
        <v>182</v>
      </c>
      <c r="I7" s="175" t="s">
        <v>182</v>
      </c>
      <c r="J7" s="175" t="s">
        <v>182</v>
      </c>
      <c r="K7" s="175" t="s">
        <v>182</v>
      </c>
    </row>
    <row r="8" spans="1:11" ht="42.75" customHeight="1">
      <c r="A8" s="553" t="s">
        <v>184</v>
      </c>
      <c r="B8" s="554"/>
      <c r="C8" s="554"/>
      <c r="D8" s="554"/>
      <c r="E8" s="554"/>
      <c r="F8" s="554"/>
      <c r="G8" s="554"/>
      <c r="H8" s="554"/>
      <c r="I8" s="554"/>
      <c r="J8" s="554"/>
      <c r="K8" s="554"/>
    </row>
    <row r="9" spans="1:11" ht="37.5" customHeight="1">
      <c r="A9" s="176" t="s">
        <v>185</v>
      </c>
      <c r="B9" s="164" t="s">
        <v>186</v>
      </c>
      <c r="C9" s="195">
        <f>C16+C22</f>
        <v>20303705.23</v>
      </c>
      <c r="D9" s="195">
        <f t="shared" ref="D9:K9" si="0">D16+D22</f>
        <v>20303705.23</v>
      </c>
      <c r="E9" s="195">
        <f>E16+E22</f>
        <v>21349.85</v>
      </c>
      <c r="F9" s="195">
        <f>F16+F22</f>
        <v>21349.85</v>
      </c>
      <c r="G9" s="195">
        <f t="shared" si="0"/>
        <v>0</v>
      </c>
      <c r="H9" s="195">
        <f>H16+H22</f>
        <v>0</v>
      </c>
      <c r="I9" s="195">
        <f t="shared" si="0"/>
        <v>0</v>
      </c>
      <c r="J9" s="195">
        <f t="shared" si="0"/>
        <v>0</v>
      </c>
      <c r="K9" s="195">
        <f t="shared" si="0"/>
        <v>0</v>
      </c>
    </row>
    <row r="10" spans="1:11" ht="48" customHeight="1">
      <c r="A10" s="176" t="s">
        <v>187</v>
      </c>
      <c r="B10" s="164" t="s">
        <v>186</v>
      </c>
      <c r="C10" s="195">
        <f>C17+C23</f>
        <v>6131718.3999999994</v>
      </c>
      <c r="D10" s="195">
        <f t="shared" ref="D10:K10" si="1">D17+D23</f>
        <v>6131718.3999999994</v>
      </c>
      <c r="E10" s="195">
        <f>E17+E23</f>
        <v>6447.65</v>
      </c>
      <c r="F10" s="195">
        <f>F17+F23</f>
        <v>6447.65</v>
      </c>
      <c r="G10" s="195">
        <f t="shared" si="1"/>
        <v>0</v>
      </c>
      <c r="H10" s="195">
        <f>H17+H23</f>
        <v>0</v>
      </c>
      <c r="I10" s="195">
        <f t="shared" si="1"/>
        <v>0</v>
      </c>
      <c r="J10" s="195">
        <f t="shared" si="1"/>
        <v>0</v>
      </c>
      <c r="K10" s="195">
        <f t="shared" si="1"/>
        <v>0</v>
      </c>
    </row>
    <row r="11" spans="1:11" ht="45">
      <c r="A11" s="177" t="s">
        <v>188</v>
      </c>
      <c r="B11" s="164" t="s">
        <v>186</v>
      </c>
      <c r="C11" s="195">
        <f>C18</f>
        <v>302418</v>
      </c>
      <c r="D11" s="195">
        <f t="shared" ref="D11:K11" si="2">D18</f>
        <v>302418</v>
      </c>
      <c r="E11" s="195">
        <f>E18</f>
        <v>318</v>
      </c>
      <c r="F11" s="195">
        <f>F18</f>
        <v>318</v>
      </c>
      <c r="G11" s="195">
        <f t="shared" si="2"/>
        <v>0</v>
      </c>
      <c r="H11" s="195">
        <f>H18</f>
        <v>0</v>
      </c>
      <c r="I11" s="195">
        <f t="shared" si="2"/>
        <v>0</v>
      </c>
      <c r="J11" s="195">
        <f t="shared" si="2"/>
        <v>0</v>
      </c>
      <c r="K11" s="195">
        <f t="shared" si="2"/>
        <v>0</v>
      </c>
    </row>
    <row r="12" spans="1:11" ht="22.5">
      <c r="A12" s="178" t="s">
        <v>189</v>
      </c>
      <c r="B12" s="164" t="s">
        <v>186</v>
      </c>
      <c r="C12" s="195">
        <f>C19</f>
        <v>35109</v>
      </c>
      <c r="D12" s="195">
        <f t="shared" ref="D12:K12" si="3">D19</f>
        <v>35109</v>
      </c>
      <c r="E12" s="195">
        <f>E19</f>
        <v>36.92</v>
      </c>
      <c r="F12" s="195">
        <f>F19</f>
        <v>36.92</v>
      </c>
      <c r="G12" s="195">
        <f t="shared" si="3"/>
        <v>0</v>
      </c>
      <c r="H12" s="195">
        <f>H19</f>
        <v>0</v>
      </c>
      <c r="I12" s="195">
        <f t="shared" si="3"/>
        <v>0</v>
      </c>
      <c r="J12" s="195">
        <f t="shared" si="3"/>
        <v>0</v>
      </c>
      <c r="K12" s="195">
        <f t="shared" si="3"/>
        <v>0</v>
      </c>
    </row>
    <row r="13" spans="1:11" ht="25.5" customHeight="1">
      <c r="A13" s="176" t="s">
        <v>196</v>
      </c>
      <c r="B13" s="164" t="s">
        <v>186</v>
      </c>
      <c r="C13" s="195">
        <f>C24</f>
        <v>3000</v>
      </c>
      <c r="D13" s="195"/>
      <c r="E13" s="195"/>
      <c r="F13" s="195"/>
      <c r="G13" s="195">
        <f>G24</f>
        <v>3000</v>
      </c>
      <c r="H13" s="195">
        <f t="shared" ref="H13:K13" si="4">H24</f>
        <v>3.15</v>
      </c>
      <c r="I13" s="195">
        <f t="shared" si="4"/>
        <v>3.15</v>
      </c>
      <c r="J13" s="195">
        <f t="shared" si="4"/>
        <v>0</v>
      </c>
      <c r="K13" s="195">
        <f t="shared" si="4"/>
        <v>3.15</v>
      </c>
    </row>
    <row r="14" spans="1:11">
      <c r="A14" s="194" t="s">
        <v>125</v>
      </c>
      <c r="B14" s="190"/>
      <c r="C14" s="197">
        <f>SUM(C9:C13)</f>
        <v>26775950.629999999</v>
      </c>
      <c r="D14" s="197">
        <f t="shared" ref="D14:K14" si="5">SUM(D9:D13)</f>
        <v>26772950.629999999</v>
      </c>
      <c r="E14" s="197">
        <f t="shared" si="5"/>
        <v>28152.42</v>
      </c>
      <c r="F14" s="197">
        <f t="shared" si="5"/>
        <v>28152.42</v>
      </c>
      <c r="G14" s="197">
        <f t="shared" si="5"/>
        <v>3000</v>
      </c>
      <c r="H14" s="197">
        <f t="shared" si="5"/>
        <v>3.15</v>
      </c>
      <c r="I14" s="197">
        <f t="shared" si="5"/>
        <v>3.15</v>
      </c>
      <c r="J14" s="197">
        <f t="shared" si="5"/>
        <v>0</v>
      </c>
      <c r="K14" s="197">
        <f t="shared" si="5"/>
        <v>3.15</v>
      </c>
    </row>
    <row r="15" spans="1:11" ht="45" customHeight="1">
      <c r="A15" s="548" t="s">
        <v>190</v>
      </c>
      <c r="B15" s="549"/>
      <c r="C15" s="549"/>
      <c r="D15" s="549"/>
      <c r="E15" s="549"/>
      <c r="F15" s="549"/>
      <c r="G15" s="549"/>
      <c r="H15" s="549"/>
      <c r="I15" s="549"/>
      <c r="J15" s="549"/>
      <c r="K15" s="549"/>
    </row>
    <row r="16" spans="1:11" ht="37.5" customHeight="1">
      <c r="A16" s="176" t="s">
        <v>185</v>
      </c>
      <c r="B16" s="164" t="s">
        <v>186</v>
      </c>
      <c r="C16" s="195">
        <f>'прил.1+2'!G11</f>
        <v>20303705.23</v>
      </c>
      <c r="D16" s="195">
        <f>'прил.1+2'!G11</f>
        <v>20303705.23</v>
      </c>
      <c r="E16" s="195">
        <f>ROUND('проверка 2019'!M15/E5,2)</f>
        <v>21349.85</v>
      </c>
      <c r="F16" s="196">
        <f>ROUND('проверка 2019'!O15/F5,2)</f>
        <v>21349.85</v>
      </c>
      <c r="G16" s="196"/>
      <c r="H16" s="196">
        <f t="shared" ref="H16:K19" si="6">IF(H$5&lt;=0,0,IF($G16=0,0,ROUND($G16/($H$5+$I$5+$J$5+$K$5),2)))</f>
        <v>0</v>
      </c>
      <c r="I16" s="196">
        <f t="shared" si="6"/>
        <v>0</v>
      </c>
      <c r="J16" s="196">
        <f t="shared" si="6"/>
        <v>0</v>
      </c>
      <c r="K16" s="196">
        <f t="shared" si="6"/>
        <v>0</v>
      </c>
    </row>
    <row r="17" spans="1:82" ht="48.75" customHeight="1">
      <c r="A17" s="176" t="s">
        <v>187</v>
      </c>
      <c r="B17" s="164" t="s">
        <v>186</v>
      </c>
      <c r="C17" s="234">
        <f>'прил.1+2'!H11+'прил.1+2'!E21+'прил.1+2'!E22</f>
        <v>6131718.3999999994</v>
      </c>
      <c r="D17" s="336">
        <f>'прил.1+2'!H11+'прил.1+2'!E21+'прил.1+2'!E22</f>
        <v>6131718.3999999994</v>
      </c>
      <c r="E17" s="195">
        <f>ROUND('проверка 2019'!M16/E5,2)</f>
        <v>6447.65</v>
      </c>
      <c r="F17" s="196">
        <f>ROUND('проверка 2019'!O16/F5,2)</f>
        <v>6447.65</v>
      </c>
      <c r="G17" s="196"/>
      <c r="H17" s="196">
        <f t="shared" si="6"/>
        <v>0</v>
      </c>
      <c r="I17" s="196">
        <f t="shared" si="6"/>
        <v>0</v>
      </c>
      <c r="J17" s="196">
        <f t="shared" si="6"/>
        <v>0</v>
      </c>
      <c r="K17" s="196">
        <f t="shared" si="6"/>
        <v>0</v>
      </c>
    </row>
    <row r="18" spans="1:82" ht="45">
      <c r="A18" s="177" t="s">
        <v>188</v>
      </c>
      <c r="B18" s="164" t="s">
        <v>186</v>
      </c>
      <c r="C18" s="195">
        <f>'прил.1+2'!F15</f>
        <v>302418</v>
      </c>
      <c r="D18" s="195">
        <f>'прил.1+2'!F15</f>
        <v>302418</v>
      </c>
      <c r="E18" s="195">
        <f>ROUND('проверка 2019'!G18/E5,2)</f>
        <v>318</v>
      </c>
      <c r="F18" s="196">
        <f>ROUND('проверка 2019'!H18/F5,2)</f>
        <v>318</v>
      </c>
      <c r="G18" s="196"/>
      <c r="H18" s="196">
        <f t="shared" si="6"/>
        <v>0</v>
      </c>
      <c r="I18" s="196">
        <f t="shared" si="6"/>
        <v>0</v>
      </c>
      <c r="J18" s="196">
        <f t="shared" si="6"/>
        <v>0</v>
      </c>
      <c r="K18" s="196">
        <f t="shared" si="6"/>
        <v>0</v>
      </c>
    </row>
    <row r="19" spans="1:82" ht="22.5">
      <c r="A19" s="178" t="str">
        <f>A12</f>
        <v xml:space="preserve"> затраты на доп. проф. образование педагогических работников</v>
      </c>
      <c r="B19" s="164" t="s">
        <v>186</v>
      </c>
      <c r="C19" s="195">
        <f>'прил.1+2'!F16</f>
        <v>35109</v>
      </c>
      <c r="D19" s="195">
        <f>'прил.1+2'!F16</f>
        <v>35109</v>
      </c>
      <c r="E19" s="195">
        <f>ROUND('проверка 2019'!G17/E5,2)</f>
        <v>36.92</v>
      </c>
      <c r="F19" s="196">
        <f>ROUND('проверка 2019'!H17/F5,2)</f>
        <v>36.92</v>
      </c>
      <c r="G19" s="196"/>
      <c r="H19" s="196">
        <f t="shared" si="6"/>
        <v>0</v>
      </c>
      <c r="I19" s="196">
        <f t="shared" si="6"/>
        <v>0</v>
      </c>
      <c r="J19" s="196">
        <f t="shared" si="6"/>
        <v>0</v>
      </c>
      <c r="K19" s="196">
        <f t="shared" si="6"/>
        <v>0</v>
      </c>
    </row>
    <row r="20" spans="1:82" s="130" customFormat="1" ht="21.75" customHeight="1">
      <c r="A20" s="179" t="s">
        <v>125</v>
      </c>
      <c r="B20" s="180"/>
      <c r="C20" s="198">
        <f>SUM(C16:C19)</f>
        <v>26772950.629999999</v>
      </c>
      <c r="D20" s="198">
        <f>SUM(D16:D19)</f>
        <v>26772950.629999999</v>
      </c>
      <c r="E20" s="198">
        <f t="shared" ref="E20:K20" si="7">SUM(E16:E19)</f>
        <v>28152.42</v>
      </c>
      <c r="F20" s="198">
        <f t="shared" si="7"/>
        <v>28152.42</v>
      </c>
      <c r="G20" s="198">
        <f t="shared" si="7"/>
        <v>0</v>
      </c>
      <c r="H20" s="198">
        <f t="shared" si="7"/>
        <v>0</v>
      </c>
      <c r="I20" s="198">
        <f t="shared" si="7"/>
        <v>0</v>
      </c>
      <c r="J20" s="198">
        <f t="shared" si="7"/>
        <v>0</v>
      </c>
      <c r="K20" s="198">
        <f t="shared" si="7"/>
        <v>0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</row>
    <row r="21" spans="1:82" s="130" customFormat="1" ht="42" customHeight="1">
      <c r="A21" s="548" t="s">
        <v>191</v>
      </c>
      <c r="B21" s="549"/>
      <c r="C21" s="549"/>
      <c r="D21" s="549"/>
      <c r="E21" s="549"/>
      <c r="F21" s="549"/>
      <c r="G21" s="549"/>
      <c r="H21" s="549"/>
      <c r="I21" s="549"/>
      <c r="J21" s="549"/>
      <c r="K21" s="549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</row>
    <row r="22" spans="1:82" ht="48" customHeight="1">
      <c r="A22" s="176" t="s">
        <v>185</v>
      </c>
      <c r="B22" s="164" t="s">
        <v>186</v>
      </c>
      <c r="C22" s="195">
        <f>'прил.1+2'!G32</f>
        <v>0</v>
      </c>
      <c r="D22" s="195"/>
      <c r="E22" s="195"/>
      <c r="F22" s="195"/>
      <c r="G22" s="196">
        <f>'прил.1+2'!G32</f>
        <v>0</v>
      </c>
      <c r="H22" s="196">
        <f t="shared" ref="H22:K24" si="8">IF(H$5&lt;=0,0,IF($G22=0,0,ROUND($G22/($H$5+$I$5+$J$5+$K$5),2)))</f>
        <v>0</v>
      </c>
      <c r="I22" s="196">
        <f t="shared" si="8"/>
        <v>0</v>
      </c>
      <c r="J22" s="196">
        <f t="shared" si="8"/>
        <v>0</v>
      </c>
      <c r="K22" s="196">
        <f t="shared" si="8"/>
        <v>0</v>
      </c>
    </row>
    <row r="23" spans="1:82" ht="48" customHeight="1">
      <c r="A23" s="176" t="s">
        <v>187</v>
      </c>
      <c r="B23" s="164" t="s">
        <v>186</v>
      </c>
      <c r="C23" s="195">
        <f>'прил.1+2'!H32</f>
        <v>0</v>
      </c>
      <c r="D23" s="195"/>
      <c r="E23" s="195"/>
      <c r="F23" s="195"/>
      <c r="G23" s="196">
        <f>'прил.1+2'!H32</f>
        <v>0</v>
      </c>
      <c r="H23" s="196">
        <f>IF(H$5&lt;=0,0,IF($G23=0,0,ROUND($G23/($H$5+$I$5+$J$5+$K$5),2)))</f>
        <v>0</v>
      </c>
      <c r="I23" s="196">
        <f t="shared" si="8"/>
        <v>0</v>
      </c>
      <c r="J23" s="196">
        <f t="shared" si="8"/>
        <v>0</v>
      </c>
      <c r="K23" s="196">
        <f t="shared" si="8"/>
        <v>0</v>
      </c>
    </row>
    <row r="24" spans="1:82" ht="27.75" customHeight="1">
      <c r="A24" s="176" t="s">
        <v>196</v>
      </c>
      <c r="B24" s="164" t="s">
        <v>186</v>
      </c>
      <c r="C24" s="195">
        <f>'прил.1+2'!E37</f>
        <v>3000</v>
      </c>
      <c r="D24" s="195"/>
      <c r="E24" s="195"/>
      <c r="F24" s="195"/>
      <c r="G24" s="196">
        <f>'прил.1+2'!E37</f>
        <v>3000</v>
      </c>
      <c r="H24" s="196">
        <f>IF(H$5&lt;=0,0,IF($G24=0,0,ROUND($G24/($H$5+$I$5+$J$5+$K$5),2)))</f>
        <v>3.15</v>
      </c>
      <c r="I24" s="196">
        <f t="shared" si="8"/>
        <v>3.15</v>
      </c>
      <c r="J24" s="196">
        <f t="shared" si="8"/>
        <v>0</v>
      </c>
      <c r="K24" s="196">
        <f t="shared" si="8"/>
        <v>3.15</v>
      </c>
    </row>
    <row r="25" spans="1:82" ht="21.75" customHeight="1">
      <c r="A25" s="179" t="s">
        <v>125</v>
      </c>
      <c r="B25" s="180"/>
      <c r="C25" s="198">
        <f>SUM(C22:C24)</f>
        <v>3000</v>
      </c>
      <c r="D25" s="198">
        <f t="shared" ref="D25:K25" si="9">SUM(D22:D24)</f>
        <v>0</v>
      </c>
      <c r="E25" s="198">
        <f t="shared" si="9"/>
        <v>0</v>
      </c>
      <c r="F25" s="198">
        <f t="shared" si="9"/>
        <v>0</v>
      </c>
      <c r="G25" s="198">
        <f t="shared" si="9"/>
        <v>3000</v>
      </c>
      <c r="H25" s="198">
        <f t="shared" si="9"/>
        <v>3.15</v>
      </c>
      <c r="I25" s="198">
        <f t="shared" si="9"/>
        <v>3.15</v>
      </c>
      <c r="J25" s="198">
        <f t="shared" si="9"/>
        <v>0</v>
      </c>
      <c r="K25" s="198">
        <f t="shared" si="9"/>
        <v>3.15</v>
      </c>
    </row>
    <row r="26" spans="1:82" s="86" customFormat="1" ht="26.25" customHeight="1">
      <c r="A26" s="165"/>
      <c r="B26" s="166"/>
      <c r="C26" s="166"/>
      <c r="D26" s="166"/>
      <c r="E26" s="166"/>
      <c r="F26" s="163"/>
      <c r="G26" s="163"/>
      <c r="H26" s="163"/>
      <c r="I26" s="163"/>
      <c r="J26" s="163"/>
      <c r="K26" s="163"/>
    </row>
    <row r="27" spans="1:82" s="130" customFormat="1" ht="26.25" customHeight="1">
      <c r="A27" s="549" t="s">
        <v>192</v>
      </c>
      <c r="B27" s="549"/>
      <c r="C27" s="549"/>
      <c r="D27" s="549"/>
      <c r="E27" s="549"/>
      <c r="F27" s="549"/>
      <c r="G27" s="549"/>
      <c r="H27" s="549"/>
      <c r="I27" s="549"/>
      <c r="J27" s="549"/>
      <c r="K27" s="549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</row>
    <row r="28" spans="1:82" ht="39" customHeight="1">
      <c r="A28" s="550" t="s">
        <v>193</v>
      </c>
      <c r="B28" s="550"/>
      <c r="C28" s="550"/>
      <c r="D28" s="550"/>
      <c r="E28" s="550"/>
      <c r="F28" s="550"/>
      <c r="G28" s="550"/>
      <c r="H28" s="550"/>
      <c r="I28" s="550"/>
      <c r="J28" s="550"/>
      <c r="K28" s="550"/>
    </row>
    <row r="29" spans="1:82" ht="35.25" customHeight="1">
      <c r="A29" s="176" t="s">
        <v>194</v>
      </c>
      <c r="B29" s="164" t="s">
        <v>186</v>
      </c>
      <c r="C29" s="195">
        <f t="shared" ref="C29:K29" si="10">C34+C38</f>
        <v>28955376.77</v>
      </c>
      <c r="D29" s="195">
        <f t="shared" si="10"/>
        <v>22717382.77</v>
      </c>
      <c r="E29" s="195">
        <f t="shared" si="10"/>
        <v>23887.89</v>
      </c>
      <c r="F29" s="195">
        <f t="shared" si="10"/>
        <v>23887.89</v>
      </c>
      <c r="G29" s="195">
        <f t="shared" si="10"/>
        <v>6237994</v>
      </c>
      <c r="H29" s="195">
        <f t="shared" si="10"/>
        <v>6559.4</v>
      </c>
      <c r="I29" s="195">
        <f t="shared" si="10"/>
        <v>6559.4</v>
      </c>
      <c r="J29" s="195">
        <f t="shared" si="10"/>
        <v>0</v>
      </c>
      <c r="K29" s="195">
        <f t="shared" si="10"/>
        <v>6559.4</v>
      </c>
    </row>
    <row r="30" spans="1:82" ht="46.5" customHeight="1">
      <c r="A30" s="176" t="s">
        <v>195</v>
      </c>
      <c r="B30" s="164" t="s">
        <v>186</v>
      </c>
      <c r="C30" s="195">
        <f t="shared" ref="C30:K30" si="11">C35+C39</f>
        <v>8744523.6000000015</v>
      </c>
      <c r="D30" s="195">
        <f t="shared" si="11"/>
        <v>6860649.6000000006</v>
      </c>
      <c r="E30" s="195">
        <f t="shared" si="11"/>
        <v>7214.15</v>
      </c>
      <c r="F30" s="195">
        <f t="shared" si="11"/>
        <v>7214.14</v>
      </c>
      <c r="G30" s="195">
        <f t="shared" si="11"/>
        <v>1883874</v>
      </c>
      <c r="H30" s="195">
        <f t="shared" si="11"/>
        <v>1980.94</v>
      </c>
      <c r="I30" s="195">
        <f t="shared" si="11"/>
        <v>1980.94</v>
      </c>
      <c r="J30" s="195">
        <f t="shared" si="11"/>
        <v>0</v>
      </c>
      <c r="K30" s="195">
        <f t="shared" si="11"/>
        <v>1980.94</v>
      </c>
    </row>
    <row r="31" spans="1:82" s="130" customFormat="1" ht="26.25" customHeight="1">
      <c r="A31" s="176" t="s">
        <v>196</v>
      </c>
      <c r="B31" s="164" t="s">
        <v>186</v>
      </c>
      <c r="C31" s="195">
        <f t="shared" ref="C31:K31" si="12">C40</f>
        <v>0</v>
      </c>
      <c r="D31" s="195">
        <f t="shared" si="12"/>
        <v>0</v>
      </c>
      <c r="E31" s="195">
        <f t="shared" si="12"/>
        <v>0</v>
      </c>
      <c r="F31" s="195">
        <f t="shared" si="12"/>
        <v>0</v>
      </c>
      <c r="G31" s="195">
        <f t="shared" si="12"/>
        <v>0</v>
      </c>
      <c r="H31" s="195">
        <f t="shared" si="12"/>
        <v>0</v>
      </c>
      <c r="I31" s="195">
        <f t="shared" si="12"/>
        <v>0</v>
      </c>
      <c r="J31" s="195">
        <f t="shared" si="12"/>
        <v>0</v>
      </c>
      <c r="K31" s="195">
        <f t="shared" si="12"/>
        <v>0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</row>
    <row r="32" spans="1:82" s="130" customFormat="1" ht="27" customHeight="1">
      <c r="A32" s="181" t="s">
        <v>125</v>
      </c>
      <c r="B32" s="180"/>
      <c r="C32" s="198">
        <f>SUM(C29:C31)</f>
        <v>37699900.370000005</v>
      </c>
      <c r="D32" s="198">
        <f>SUM(D29:D31)</f>
        <v>29578032.370000001</v>
      </c>
      <c r="E32" s="198">
        <f t="shared" ref="E32:K32" si="13">SUM(E29:E31)</f>
        <v>31102.04</v>
      </c>
      <c r="F32" s="198">
        <f t="shared" si="13"/>
        <v>31102.03</v>
      </c>
      <c r="G32" s="198">
        <f t="shared" si="13"/>
        <v>8121868</v>
      </c>
      <c r="H32" s="198">
        <f t="shared" si="13"/>
        <v>8540.34</v>
      </c>
      <c r="I32" s="198">
        <f t="shared" si="13"/>
        <v>8540.34</v>
      </c>
      <c r="J32" s="198">
        <f t="shared" si="13"/>
        <v>0</v>
      </c>
      <c r="K32" s="198">
        <f t="shared" si="13"/>
        <v>8540.34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</row>
    <row r="33" spans="1:82" s="130" customFormat="1" ht="47.25" customHeight="1">
      <c r="A33" s="550" t="s">
        <v>197</v>
      </c>
      <c r="B33" s="550"/>
      <c r="C33" s="550"/>
      <c r="D33" s="550"/>
      <c r="E33" s="550"/>
      <c r="F33" s="550"/>
      <c r="G33" s="550"/>
      <c r="H33" s="550"/>
      <c r="I33" s="550"/>
      <c r="J33" s="550"/>
      <c r="K33" s="550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</row>
    <row r="34" spans="1:82" s="130" customFormat="1" ht="48" customHeight="1">
      <c r="A34" s="176" t="s">
        <v>194</v>
      </c>
      <c r="B34" s="164" t="s">
        <v>186</v>
      </c>
      <c r="C34" s="199">
        <f>'прил.1+2'!G61</f>
        <v>22717382.77</v>
      </c>
      <c r="D34" s="199">
        <f>'прил.1+2'!G61</f>
        <v>22717382.77</v>
      </c>
      <c r="E34" s="199">
        <f>ROUND('проверка 2019'!N15/E5,2)</f>
        <v>23887.89</v>
      </c>
      <c r="F34" s="196">
        <f>ROUND('проверка 2019'!P15/F5,2)</f>
        <v>23887.89</v>
      </c>
      <c r="G34" s="196"/>
      <c r="H34" s="196">
        <f t="shared" ref="H34:K35" si="14">IF(H$5&lt;=0,0,IF($G34=0,0,ROUND($G34/($H$5+$I$5+$J$5+$K$5),2)))</f>
        <v>0</v>
      </c>
      <c r="I34" s="196">
        <f t="shared" si="14"/>
        <v>0</v>
      </c>
      <c r="J34" s="196">
        <f t="shared" si="14"/>
        <v>0</v>
      </c>
      <c r="K34" s="196">
        <f t="shared" si="14"/>
        <v>0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</row>
    <row r="35" spans="1:82" s="130" customFormat="1" ht="56.25">
      <c r="A35" s="176" t="s">
        <v>195</v>
      </c>
      <c r="B35" s="164" t="s">
        <v>186</v>
      </c>
      <c r="C35" s="199">
        <f>'прил.1+2'!H61+'прил.1+2'!E66+'прил.1+2'!E67</f>
        <v>6860649.6000000006</v>
      </c>
      <c r="D35" s="199">
        <f>'прил.1+2'!H61+'прил.1+2'!E66+'прил.1+2'!E67</f>
        <v>6860649.6000000006</v>
      </c>
      <c r="E35" s="199">
        <f>ROUND('проверка 2019'!N16/E5,2)</f>
        <v>7214.15</v>
      </c>
      <c r="F35" s="196">
        <f>ROUND('проверка 2019'!P16/F5,2)</f>
        <v>7214.14</v>
      </c>
      <c r="G35" s="196"/>
      <c r="H35" s="196">
        <f t="shared" si="14"/>
        <v>0</v>
      </c>
      <c r="I35" s="196">
        <f t="shared" si="14"/>
        <v>0</v>
      </c>
      <c r="J35" s="196">
        <f t="shared" si="14"/>
        <v>0</v>
      </c>
      <c r="K35" s="196">
        <f t="shared" si="14"/>
        <v>0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</row>
    <row r="36" spans="1:82">
      <c r="A36" s="181" t="s">
        <v>125</v>
      </c>
      <c r="B36" s="180"/>
      <c r="C36" s="200">
        <f>SUM(C34:C35)</f>
        <v>29578032.370000001</v>
      </c>
      <c r="D36" s="200">
        <f>SUM(D34:D35)</f>
        <v>29578032.370000001</v>
      </c>
      <c r="E36" s="200">
        <f t="shared" ref="E36:K36" si="15">SUM(E34:E35)</f>
        <v>31102.04</v>
      </c>
      <c r="F36" s="200">
        <f t="shared" si="15"/>
        <v>31102.03</v>
      </c>
      <c r="G36" s="200">
        <f t="shared" si="15"/>
        <v>0</v>
      </c>
      <c r="H36" s="200">
        <f t="shared" si="15"/>
        <v>0</v>
      </c>
      <c r="I36" s="200">
        <f t="shared" si="15"/>
        <v>0</v>
      </c>
      <c r="J36" s="200">
        <f t="shared" si="15"/>
        <v>0</v>
      </c>
      <c r="K36" s="200">
        <f t="shared" si="15"/>
        <v>0</v>
      </c>
    </row>
    <row r="37" spans="1:82" ht="51" customHeight="1">
      <c r="A37" s="550" t="s">
        <v>198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</row>
    <row r="38" spans="1:82" ht="37.5" customHeight="1">
      <c r="A38" s="176" t="s">
        <v>194</v>
      </c>
      <c r="B38" s="164" t="s">
        <v>186</v>
      </c>
      <c r="C38" s="195">
        <f>'прил.1+2'!G79</f>
        <v>6237994</v>
      </c>
      <c r="D38" s="195"/>
      <c r="E38" s="195"/>
      <c r="F38" s="196"/>
      <c r="G38" s="196">
        <f>'прил.1+2'!G79</f>
        <v>6237994</v>
      </c>
      <c r="H38" s="196">
        <f t="shared" ref="H38:K40" si="16">IF(H$5&lt;=0,0,IF($G38=0,0,ROUND($G38/($H$5+$I$5+$J$5+$K$5),2)))</f>
        <v>6559.4</v>
      </c>
      <c r="I38" s="196">
        <f t="shared" si="16"/>
        <v>6559.4</v>
      </c>
      <c r="J38" s="196">
        <f t="shared" si="16"/>
        <v>0</v>
      </c>
      <c r="K38" s="196">
        <f t="shared" si="16"/>
        <v>6559.4</v>
      </c>
    </row>
    <row r="39" spans="1:82" ht="36.75" customHeight="1">
      <c r="A39" s="176" t="s">
        <v>194</v>
      </c>
      <c r="B39" s="164" t="s">
        <v>186</v>
      </c>
      <c r="C39" s="195">
        <f>'прил.1+2'!H79+'прил.1+2'!E84+'прил.1+2'!E85</f>
        <v>1883874</v>
      </c>
      <c r="D39" s="195"/>
      <c r="E39" s="195"/>
      <c r="F39" s="196"/>
      <c r="G39" s="196">
        <f>'прил.1+2'!H79+'прил.1+2'!E84+'прил.1+2'!E85</f>
        <v>1883874</v>
      </c>
      <c r="H39" s="196">
        <f t="shared" si="16"/>
        <v>1980.94</v>
      </c>
      <c r="I39" s="196">
        <f t="shared" si="16"/>
        <v>1980.94</v>
      </c>
      <c r="J39" s="196">
        <f t="shared" si="16"/>
        <v>0</v>
      </c>
      <c r="K39" s="196">
        <f t="shared" si="16"/>
        <v>1980.94</v>
      </c>
    </row>
    <row r="40" spans="1:82" ht="22.5">
      <c r="A40" s="176" t="s">
        <v>196</v>
      </c>
      <c r="B40" s="164" t="s">
        <v>186</v>
      </c>
      <c r="C40" s="195">
        <f>'прил.1+2'!E90</f>
        <v>0</v>
      </c>
      <c r="D40" s="195"/>
      <c r="E40" s="195"/>
      <c r="F40" s="196"/>
      <c r="G40" s="196">
        <f>'прил.1+2'!E90</f>
        <v>0</v>
      </c>
      <c r="H40" s="196">
        <f t="shared" si="16"/>
        <v>0</v>
      </c>
      <c r="I40" s="196">
        <f t="shared" si="16"/>
        <v>0</v>
      </c>
      <c r="J40" s="196">
        <f t="shared" si="16"/>
        <v>0</v>
      </c>
      <c r="K40" s="196">
        <f t="shared" si="16"/>
        <v>0</v>
      </c>
    </row>
    <row r="41" spans="1:82">
      <c r="A41" s="181" t="s">
        <v>125</v>
      </c>
      <c r="B41" s="180"/>
      <c r="C41" s="198">
        <f>SUM(C38:C40)</f>
        <v>8121868</v>
      </c>
      <c r="D41" s="198">
        <f>SUM(D38:D40)</f>
        <v>0</v>
      </c>
      <c r="E41" s="198">
        <f t="shared" ref="E41:K41" si="17">SUM(E38:E40)</f>
        <v>0</v>
      </c>
      <c r="F41" s="198">
        <f t="shared" si="17"/>
        <v>0</v>
      </c>
      <c r="G41" s="198">
        <f t="shared" si="17"/>
        <v>8121868</v>
      </c>
      <c r="H41" s="198">
        <f t="shared" si="17"/>
        <v>8540.34</v>
      </c>
      <c r="I41" s="198">
        <f t="shared" si="17"/>
        <v>8540.34</v>
      </c>
      <c r="J41" s="198">
        <f t="shared" si="17"/>
        <v>0</v>
      </c>
      <c r="K41" s="198">
        <f t="shared" si="17"/>
        <v>8540.34</v>
      </c>
    </row>
    <row r="42" spans="1:82">
      <c r="A42" s="167"/>
      <c r="B42" s="166"/>
      <c r="C42" s="166"/>
      <c r="D42" s="166"/>
      <c r="E42" s="166"/>
      <c r="F42" s="163"/>
      <c r="G42" s="163"/>
      <c r="H42" s="163"/>
      <c r="I42" s="163"/>
      <c r="J42" s="163"/>
      <c r="K42" s="163"/>
    </row>
    <row r="43" spans="1:82" ht="25.5" customHeight="1">
      <c r="A43" s="551" t="s">
        <v>199</v>
      </c>
      <c r="B43" s="550"/>
      <c r="C43" s="550"/>
      <c r="D43" s="550"/>
      <c r="E43" s="550"/>
      <c r="F43" s="550"/>
      <c r="G43" s="550"/>
      <c r="H43" s="550"/>
      <c r="I43" s="550"/>
      <c r="J43" s="550"/>
      <c r="K43" s="550"/>
    </row>
    <row r="44" spans="1:82">
      <c r="A44" s="182" t="str">
        <f>прил.3!B6</f>
        <v>вывоз мусора</v>
      </c>
      <c r="B44" s="164" t="s">
        <v>186</v>
      </c>
      <c r="C44" s="195">
        <f>прил.3!G6</f>
        <v>121870.8</v>
      </c>
      <c r="D44" s="195"/>
      <c r="E44" s="195"/>
      <c r="F44" s="196"/>
      <c r="G44" s="196">
        <f>прил.3!G6</f>
        <v>121870.8</v>
      </c>
      <c r="H44" s="196">
        <f t="shared" ref="H44:K68" si="18">IF(H$5&lt;=0,0,IF($G44=0,0,ROUND($G44/($H$5+$I$5+$J$5+$K$5),2)))</f>
        <v>128.15</v>
      </c>
      <c r="I44" s="196">
        <f t="shared" si="18"/>
        <v>128.15</v>
      </c>
      <c r="J44" s="196">
        <f t="shared" si="18"/>
        <v>0</v>
      </c>
      <c r="K44" s="196">
        <f t="shared" si="18"/>
        <v>128.15</v>
      </c>
    </row>
    <row r="45" spans="1:82">
      <c r="A45" s="275" t="str">
        <f>прил.3!B7</f>
        <v>дератизация</v>
      </c>
      <c r="B45" s="164" t="s">
        <v>186</v>
      </c>
      <c r="C45" s="195">
        <f>прил.3!G7</f>
        <v>11947.2</v>
      </c>
      <c r="D45" s="195"/>
      <c r="E45" s="195"/>
      <c r="F45" s="196"/>
      <c r="G45" s="196">
        <f>прил.3!G7</f>
        <v>11947.2</v>
      </c>
      <c r="H45" s="196">
        <f t="shared" si="18"/>
        <v>12.56</v>
      </c>
      <c r="I45" s="196">
        <f t="shared" si="18"/>
        <v>12.56</v>
      </c>
      <c r="J45" s="196">
        <f t="shared" si="18"/>
        <v>0</v>
      </c>
      <c r="K45" s="196">
        <f t="shared" si="18"/>
        <v>12.56</v>
      </c>
    </row>
    <row r="46" spans="1:82" ht="25.5">
      <c r="A46" s="275" t="str">
        <f>прил.3!B8</f>
        <v>тех.обслуживание кнопки тревожной сигнализации</v>
      </c>
      <c r="B46" s="164" t="s">
        <v>186</v>
      </c>
      <c r="C46" s="195">
        <f>прил.3!G8</f>
        <v>12328.8</v>
      </c>
      <c r="D46" s="195"/>
      <c r="E46" s="195"/>
      <c r="F46" s="196"/>
      <c r="G46" s="196">
        <f>прил.3!G8</f>
        <v>12328.8</v>
      </c>
      <c r="H46" s="196">
        <f t="shared" si="18"/>
        <v>12.96</v>
      </c>
      <c r="I46" s="196">
        <f t="shared" si="18"/>
        <v>12.96</v>
      </c>
      <c r="J46" s="196">
        <f t="shared" si="18"/>
        <v>0</v>
      </c>
      <c r="K46" s="196">
        <f t="shared" si="18"/>
        <v>12.96</v>
      </c>
    </row>
    <row r="47" spans="1:82">
      <c r="A47" s="275" t="str">
        <f>прил.3!B9</f>
        <v>АПС</v>
      </c>
      <c r="B47" s="164" t="s">
        <v>186</v>
      </c>
      <c r="C47" s="195">
        <f>прил.3!G9</f>
        <v>62400</v>
      </c>
      <c r="D47" s="195"/>
      <c r="E47" s="195"/>
      <c r="F47" s="196"/>
      <c r="G47" s="196">
        <f>прил.3!G9</f>
        <v>62400</v>
      </c>
      <c r="H47" s="196">
        <f t="shared" si="18"/>
        <v>65.62</v>
      </c>
      <c r="I47" s="196">
        <f t="shared" si="18"/>
        <v>65.62</v>
      </c>
      <c r="J47" s="196">
        <f t="shared" si="18"/>
        <v>0</v>
      </c>
      <c r="K47" s="196">
        <f t="shared" si="18"/>
        <v>65.62</v>
      </c>
    </row>
    <row r="48" spans="1:82" ht="25.5">
      <c r="A48" s="275" t="str">
        <f>прил.3!B10</f>
        <v>санитарная уборка контейнерной площадки</v>
      </c>
      <c r="B48" s="164" t="s">
        <v>186</v>
      </c>
      <c r="C48" s="195">
        <f>прил.3!G10</f>
        <v>8664</v>
      </c>
      <c r="D48" s="195"/>
      <c r="E48" s="195"/>
      <c r="F48" s="196"/>
      <c r="G48" s="196">
        <f>прил.3!G10</f>
        <v>8664</v>
      </c>
      <c r="H48" s="196">
        <f t="shared" si="18"/>
        <v>9.11</v>
      </c>
      <c r="I48" s="196">
        <f t="shared" si="18"/>
        <v>9.11</v>
      </c>
      <c r="J48" s="196">
        <f t="shared" si="18"/>
        <v>0</v>
      </c>
      <c r="K48" s="196">
        <f t="shared" si="18"/>
        <v>9.11</v>
      </c>
    </row>
    <row r="49" spans="1:82" ht="25.5">
      <c r="A49" s="275" t="str">
        <f>прил.3!B11</f>
        <v>тех.обслуживание видеонаблюдения</v>
      </c>
      <c r="B49" s="164" t="s">
        <v>186</v>
      </c>
      <c r="C49" s="195">
        <f>прил.3!G11</f>
        <v>9000</v>
      </c>
      <c r="D49" s="195"/>
      <c r="E49" s="195"/>
      <c r="F49" s="196"/>
      <c r="G49" s="196">
        <f>прил.3!G11</f>
        <v>9000</v>
      </c>
      <c r="H49" s="196">
        <f t="shared" si="18"/>
        <v>9.4600000000000009</v>
      </c>
      <c r="I49" s="196">
        <f t="shared" si="18"/>
        <v>9.4600000000000009</v>
      </c>
      <c r="J49" s="196">
        <f t="shared" si="18"/>
        <v>0</v>
      </c>
      <c r="K49" s="196">
        <f t="shared" si="18"/>
        <v>9.4600000000000009</v>
      </c>
    </row>
    <row r="50" spans="1:82" ht="25.5">
      <c r="A50" s="275" t="str">
        <f>прил.3!B12</f>
        <v>тех.обслуживание систем погодного регулирования</v>
      </c>
      <c r="B50" s="164" t="s">
        <v>186</v>
      </c>
      <c r="C50" s="195">
        <f>прил.3!G12</f>
        <v>46592</v>
      </c>
      <c r="D50" s="195"/>
      <c r="E50" s="195"/>
      <c r="F50" s="196"/>
      <c r="G50" s="196">
        <f>прил.3!G12</f>
        <v>46592</v>
      </c>
      <c r="H50" s="196">
        <f t="shared" si="18"/>
        <v>48.99</v>
      </c>
      <c r="I50" s="196">
        <f t="shared" si="18"/>
        <v>48.99</v>
      </c>
      <c r="J50" s="196">
        <f t="shared" si="18"/>
        <v>0</v>
      </c>
      <c r="K50" s="196">
        <f t="shared" si="18"/>
        <v>48.99</v>
      </c>
    </row>
    <row r="51" spans="1:82" ht="15" customHeight="1">
      <c r="A51" s="275" t="str">
        <f>прил.3!B13</f>
        <v>тех.обслуживание радиомодема</v>
      </c>
      <c r="B51" s="164" t="s">
        <v>186</v>
      </c>
      <c r="C51" s="195">
        <f>прил.3!G13</f>
        <v>52800</v>
      </c>
      <c r="D51" s="195"/>
      <c r="E51" s="195"/>
      <c r="F51" s="196"/>
      <c r="G51" s="196">
        <f>прил.3!G13</f>
        <v>52800</v>
      </c>
      <c r="H51" s="196">
        <f t="shared" si="18"/>
        <v>55.52</v>
      </c>
      <c r="I51" s="196">
        <f t="shared" si="18"/>
        <v>55.52</v>
      </c>
      <c r="J51" s="196">
        <f t="shared" si="18"/>
        <v>0</v>
      </c>
      <c r="K51" s="196">
        <f t="shared" si="18"/>
        <v>55.52</v>
      </c>
    </row>
    <row r="52" spans="1:82" ht="25.5" customHeight="1">
      <c r="A52" s="275" t="str">
        <f>прил.3!B14</f>
        <v>тех.обслуживание теплосчетчиков</v>
      </c>
      <c r="B52" s="233" t="s">
        <v>186</v>
      </c>
      <c r="C52" s="195">
        <f>прил.3!G14</f>
        <v>77052.2</v>
      </c>
      <c r="D52" s="195"/>
      <c r="E52" s="195"/>
      <c r="F52" s="196"/>
      <c r="G52" s="196">
        <f>прил.3!G14</f>
        <v>77052.2</v>
      </c>
      <c r="H52" s="196">
        <f t="shared" si="18"/>
        <v>81.02</v>
      </c>
      <c r="I52" s="196">
        <f t="shared" si="18"/>
        <v>81.02</v>
      </c>
      <c r="J52" s="196">
        <f t="shared" si="18"/>
        <v>0</v>
      </c>
      <c r="K52" s="196">
        <f t="shared" si="18"/>
        <v>81.02</v>
      </c>
    </row>
    <row r="53" spans="1:82">
      <c r="A53" s="275" t="str">
        <f>прил.3!B15</f>
        <v>Тех.обслуж.прибора учета ТЭР</v>
      </c>
      <c r="B53" s="164" t="s">
        <v>186</v>
      </c>
      <c r="C53" s="195">
        <f>прил.3!G15</f>
        <v>0</v>
      </c>
      <c r="D53" s="195"/>
      <c r="E53" s="195"/>
      <c r="F53" s="196"/>
      <c r="G53" s="196">
        <f>прил.3!G15</f>
        <v>0</v>
      </c>
      <c r="H53" s="196">
        <f t="shared" si="18"/>
        <v>0</v>
      </c>
      <c r="I53" s="196">
        <f t="shared" si="18"/>
        <v>0</v>
      </c>
      <c r="J53" s="196">
        <f t="shared" si="18"/>
        <v>0</v>
      </c>
      <c r="K53" s="196">
        <f t="shared" si="18"/>
        <v>0</v>
      </c>
    </row>
    <row r="54" spans="1:82">
      <c r="A54" s="275" t="str">
        <f>прил.3!B17</f>
        <v>Промывка, опресовка</v>
      </c>
      <c r="B54" s="164" t="s">
        <v>186</v>
      </c>
      <c r="C54" s="195">
        <f>прил.3!G17</f>
        <v>48000</v>
      </c>
      <c r="D54" s="195"/>
      <c r="E54" s="195"/>
      <c r="F54" s="196"/>
      <c r="G54" s="196">
        <f>прил.3!G17</f>
        <v>48000</v>
      </c>
      <c r="H54" s="196">
        <f t="shared" si="18"/>
        <v>50.47</v>
      </c>
      <c r="I54" s="196">
        <f t="shared" si="18"/>
        <v>50.47</v>
      </c>
      <c r="J54" s="196">
        <f t="shared" si="18"/>
        <v>0</v>
      </c>
      <c r="K54" s="196">
        <f t="shared" si="18"/>
        <v>50.47</v>
      </c>
    </row>
    <row r="55" spans="1:82">
      <c r="A55" s="275" t="str">
        <f>прил.3!B18</f>
        <v>замер сопротивления</v>
      </c>
      <c r="B55" s="164" t="s">
        <v>186</v>
      </c>
      <c r="C55" s="195">
        <f>прил.3!G18</f>
        <v>7000</v>
      </c>
      <c r="D55" s="195"/>
      <c r="E55" s="195"/>
      <c r="F55" s="196"/>
      <c r="G55" s="196">
        <f>прил.3!G18</f>
        <v>7000</v>
      </c>
      <c r="H55" s="196">
        <f t="shared" si="18"/>
        <v>7.36</v>
      </c>
      <c r="I55" s="196">
        <f t="shared" si="18"/>
        <v>7.36</v>
      </c>
      <c r="J55" s="196">
        <f t="shared" si="18"/>
        <v>0</v>
      </c>
      <c r="K55" s="196">
        <f t="shared" si="18"/>
        <v>7.36</v>
      </c>
    </row>
    <row r="56" spans="1:82">
      <c r="A56" s="275" t="str">
        <f>прил.3!B19</f>
        <v>заправка картриджей</v>
      </c>
      <c r="B56" s="164" t="s">
        <v>186</v>
      </c>
      <c r="C56" s="195">
        <f>прил.3!G19</f>
        <v>0</v>
      </c>
      <c r="D56" s="195"/>
      <c r="E56" s="195"/>
      <c r="F56" s="196"/>
      <c r="G56" s="196">
        <f>прил.3!G19</f>
        <v>0</v>
      </c>
      <c r="H56" s="196">
        <f t="shared" si="18"/>
        <v>0</v>
      </c>
      <c r="I56" s="196">
        <f t="shared" si="18"/>
        <v>0</v>
      </c>
      <c r="J56" s="196">
        <f t="shared" si="18"/>
        <v>0</v>
      </c>
      <c r="K56" s="196">
        <f t="shared" si="18"/>
        <v>0</v>
      </c>
    </row>
    <row r="57" spans="1:82">
      <c r="A57" s="275" t="str">
        <f>прил.3!B20</f>
        <v>ТО оборудования</v>
      </c>
      <c r="B57" s="164" t="s">
        <v>186</v>
      </c>
      <c r="C57" s="195">
        <f>прил.3!G20</f>
        <v>30252</v>
      </c>
      <c r="D57" s="195"/>
      <c r="E57" s="195"/>
      <c r="F57" s="196"/>
      <c r="G57" s="196">
        <f>прил.3!G20</f>
        <v>30252</v>
      </c>
      <c r="H57" s="196">
        <f t="shared" si="18"/>
        <v>31.81</v>
      </c>
      <c r="I57" s="196">
        <f t="shared" si="18"/>
        <v>31.81</v>
      </c>
      <c r="J57" s="196">
        <f t="shared" si="18"/>
        <v>0</v>
      </c>
      <c r="K57" s="196">
        <f t="shared" si="18"/>
        <v>31.81</v>
      </c>
    </row>
    <row r="58" spans="1:82">
      <c r="A58" s="275" t="str">
        <f>прил.3!B21</f>
        <v>Поверка весов, манометров</v>
      </c>
      <c r="B58" s="164" t="s">
        <v>186</v>
      </c>
      <c r="C58" s="195">
        <f>прил.3!G21</f>
        <v>10660</v>
      </c>
      <c r="D58" s="195"/>
      <c r="E58" s="195"/>
      <c r="F58" s="196"/>
      <c r="G58" s="196">
        <f>прил.3!G21</f>
        <v>10660</v>
      </c>
      <c r="H58" s="196">
        <f t="shared" si="18"/>
        <v>11.21</v>
      </c>
      <c r="I58" s="196">
        <f t="shared" si="18"/>
        <v>11.21</v>
      </c>
      <c r="J58" s="196">
        <f t="shared" si="18"/>
        <v>0</v>
      </c>
      <c r="K58" s="196">
        <f t="shared" si="18"/>
        <v>11.21</v>
      </c>
    </row>
    <row r="59" spans="1:82" s="130" customFormat="1">
      <c r="A59" s="275" t="str">
        <f>прил.3!B22</f>
        <v>Очистка кровли</v>
      </c>
      <c r="B59" s="164" t="s">
        <v>186</v>
      </c>
      <c r="C59" s="195">
        <f>прил.3!G22</f>
        <v>26000</v>
      </c>
      <c r="D59" s="195"/>
      <c r="E59" s="195"/>
      <c r="F59" s="196"/>
      <c r="G59" s="196">
        <f>прил.3!G22</f>
        <v>26000</v>
      </c>
      <c r="H59" s="196">
        <f t="shared" si="18"/>
        <v>27.34</v>
      </c>
      <c r="I59" s="196">
        <f t="shared" si="18"/>
        <v>27.34</v>
      </c>
      <c r="J59" s="196">
        <f t="shared" si="18"/>
        <v>0</v>
      </c>
      <c r="K59" s="196">
        <f t="shared" si="18"/>
        <v>27.34</v>
      </c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</row>
    <row r="60" spans="1:82">
      <c r="A60" s="275" t="str">
        <f>прил.3!B23</f>
        <v>Заправка и ремонт картриджей</v>
      </c>
      <c r="B60" s="164" t="s">
        <v>186</v>
      </c>
      <c r="C60" s="195">
        <f>прил.3!G23</f>
        <v>0</v>
      </c>
      <c r="D60" s="195"/>
      <c r="E60" s="195"/>
      <c r="F60" s="196"/>
      <c r="G60" s="196">
        <f>прил.3!G23</f>
        <v>0</v>
      </c>
      <c r="H60" s="196">
        <f t="shared" si="18"/>
        <v>0</v>
      </c>
      <c r="I60" s="196">
        <f t="shared" si="18"/>
        <v>0</v>
      </c>
      <c r="J60" s="196">
        <f t="shared" si="18"/>
        <v>0</v>
      </c>
      <c r="K60" s="196">
        <f t="shared" si="18"/>
        <v>0</v>
      </c>
    </row>
    <row r="61" spans="1:82" ht="25.5">
      <c r="A61" s="275" t="s">
        <v>288</v>
      </c>
      <c r="B61" s="164" t="s">
        <v>186</v>
      </c>
      <c r="C61" s="195">
        <f>прил.3!G47</f>
        <v>0</v>
      </c>
      <c r="D61" s="195"/>
      <c r="E61" s="195"/>
      <c r="F61" s="196"/>
      <c r="G61" s="196">
        <f>прил.3!G47</f>
        <v>0</v>
      </c>
      <c r="H61" s="196">
        <f>IF(H$5&lt;=0,0,IF($G61=0,0,ROUND($G61/($H$5+$I$5+$J$5+$K$5),2)))</f>
        <v>0</v>
      </c>
      <c r="I61" s="196">
        <f t="shared" si="18"/>
        <v>0</v>
      </c>
      <c r="J61" s="196">
        <f t="shared" si="18"/>
        <v>0</v>
      </c>
      <c r="K61" s="196">
        <f t="shared" si="18"/>
        <v>0</v>
      </c>
    </row>
    <row r="62" spans="1:82">
      <c r="A62" s="339" t="s">
        <v>290</v>
      </c>
      <c r="B62" s="164" t="s">
        <v>186</v>
      </c>
      <c r="C62" s="195">
        <f>прил.3!G28+прил.3!G29+прил.3!G30</f>
        <v>0</v>
      </c>
      <c r="D62" s="195"/>
      <c r="E62" s="195"/>
      <c r="F62" s="196"/>
      <c r="G62" s="196">
        <f>прил.3!G28+прил.3!G29+прил.3!G30</f>
        <v>0</v>
      </c>
      <c r="H62" s="196">
        <f t="shared" ref="H62:K63" si="19">IF(H$5&lt;=0,0,IF($G62=0,0,ROUND($G62/($H$5+$I$5+$J$5+$K$5),2)))</f>
        <v>0</v>
      </c>
      <c r="I62" s="196">
        <f t="shared" si="19"/>
        <v>0</v>
      </c>
      <c r="J62" s="196">
        <f t="shared" si="19"/>
        <v>0</v>
      </c>
      <c r="K62" s="196">
        <f t="shared" si="19"/>
        <v>0</v>
      </c>
    </row>
    <row r="63" spans="1:82">
      <c r="A63" s="339" t="s">
        <v>291</v>
      </c>
      <c r="B63" s="164" t="s">
        <v>186</v>
      </c>
      <c r="C63" s="195">
        <f>прил.3!G31+прил.3!G32+прил.3!G33+прил.3!G34</f>
        <v>0</v>
      </c>
      <c r="D63" s="195"/>
      <c r="E63" s="195"/>
      <c r="F63" s="196"/>
      <c r="G63" s="196">
        <f>прил.3!G31+прил.3!G32+прил.3!G33+прил.3!G34</f>
        <v>0</v>
      </c>
      <c r="H63" s="196">
        <f t="shared" si="19"/>
        <v>0</v>
      </c>
      <c r="I63" s="196">
        <f t="shared" si="19"/>
        <v>0</v>
      </c>
      <c r="J63" s="196">
        <f t="shared" si="19"/>
        <v>0</v>
      </c>
      <c r="K63" s="196">
        <f t="shared" si="19"/>
        <v>0</v>
      </c>
    </row>
    <row r="64" spans="1:82" ht="12.75" customHeight="1">
      <c r="A64" s="275" t="str">
        <f>прил.3!B27</f>
        <v>Обследование тех.состояния вен.каналов</v>
      </c>
      <c r="B64" s="164" t="s">
        <v>186</v>
      </c>
      <c r="C64" s="195">
        <f>прил.3!G27</f>
        <v>6000</v>
      </c>
      <c r="D64" s="195"/>
      <c r="E64" s="195"/>
      <c r="F64" s="196"/>
      <c r="G64" s="196">
        <f>прил.3!G27</f>
        <v>6000</v>
      </c>
      <c r="H64" s="196">
        <f t="shared" ref="H64:H65" si="20">IF(H$5&lt;=0,0,IF($G64=0,0,ROUND($G64/($H$5+$I$5+$J$5+$K$5),2)))</f>
        <v>6.31</v>
      </c>
      <c r="I64" s="196">
        <f t="shared" si="18"/>
        <v>6.31</v>
      </c>
      <c r="J64" s="196">
        <f t="shared" si="18"/>
        <v>0</v>
      </c>
      <c r="K64" s="196">
        <f t="shared" si="18"/>
        <v>6.31</v>
      </c>
    </row>
    <row r="65" spans="1:82" ht="12.75" customHeight="1">
      <c r="A65" s="275" t="str">
        <f>прил.3!B28</f>
        <v>Заправка огнетушителей</v>
      </c>
      <c r="B65" s="164" t="s">
        <v>186</v>
      </c>
      <c r="C65" s="195">
        <f>прил.3!G28</f>
        <v>0</v>
      </c>
      <c r="D65" s="195"/>
      <c r="E65" s="195"/>
      <c r="F65" s="196"/>
      <c r="G65" s="196">
        <f>прил.3!G28</f>
        <v>0</v>
      </c>
      <c r="H65" s="196">
        <f t="shared" si="20"/>
        <v>0</v>
      </c>
      <c r="I65" s="196">
        <f t="shared" si="18"/>
        <v>0</v>
      </c>
      <c r="J65" s="196">
        <f t="shared" si="18"/>
        <v>0</v>
      </c>
      <c r="K65" s="196">
        <f t="shared" si="18"/>
        <v>0</v>
      </c>
    </row>
    <row r="66" spans="1:82" ht="12.75" customHeight="1">
      <c r="A66" s="275"/>
      <c r="B66" s="164" t="s">
        <v>186</v>
      </c>
      <c r="C66" s="195">
        <f>прил.3!G29</f>
        <v>0</v>
      </c>
      <c r="D66" s="195"/>
      <c r="E66" s="195"/>
      <c r="F66" s="196"/>
      <c r="G66" s="196">
        <f>прил.3!G29</f>
        <v>0</v>
      </c>
      <c r="H66" s="196">
        <f t="shared" si="18"/>
        <v>0</v>
      </c>
      <c r="I66" s="196">
        <f t="shared" si="18"/>
        <v>0</v>
      </c>
      <c r="J66" s="196">
        <f t="shared" si="18"/>
        <v>0</v>
      </c>
      <c r="K66" s="196">
        <f t="shared" si="18"/>
        <v>0</v>
      </c>
    </row>
    <row r="67" spans="1:82" ht="12.75" customHeight="1">
      <c r="A67" s="275" t="str">
        <f>прил.3!B36</f>
        <v>Огнезащитная обработка</v>
      </c>
      <c r="B67" s="164" t="s">
        <v>186</v>
      </c>
      <c r="C67" s="195">
        <f>прил.3!G36</f>
        <v>4500</v>
      </c>
      <c r="D67" s="195"/>
      <c r="E67" s="195"/>
      <c r="F67" s="196"/>
      <c r="G67" s="196">
        <f>прил.3!G36</f>
        <v>4500</v>
      </c>
      <c r="H67" s="196">
        <f t="shared" si="18"/>
        <v>4.7300000000000004</v>
      </c>
      <c r="I67" s="196">
        <f t="shared" si="18"/>
        <v>4.7300000000000004</v>
      </c>
      <c r="J67" s="196">
        <f t="shared" si="18"/>
        <v>0</v>
      </c>
      <c r="K67" s="196">
        <f t="shared" si="18"/>
        <v>4.7300000000000004</v>
      </c>
    </row>
    <row r="68" spans="1:82" ht="12.75" customHeight="1">
      <c r="A68" s="275" t="str">
        <f>прил.3!B37</f>
        <v>Поверка пожарных гидрантов</v>
      </c>
      <c r="B68" s="164" t="s">
        <v>186</v>
      </c>
      <c r="C68" s="195">
        <f>прил.3!G37</f>
        <v>17050</v>
      </c>
      <c r="D68" s="195"/>
      <c r="E68" s="195"/>
      <c r="F68" s="196"/>
      <c r="G68" s="196">
        <f>прил.3!G37</f>
        <v>17050</v>
      </c>
      <c r="H68" s="196">
        <f t="shared" si="18"/>
        <v>17.93</v>
      </c>
      <c r="I68" s="196">
        <f t="shared" si="18"/>
        <v>17.93</v>
      </c>
      <c r="J68" s="196">
        <f t="shared" si="18"/>
        <v>0</v>
      </c>
      <c r="K68" s="196">
        <f t="shared" si="18"/>
        <v>17.93</v>
      </c>
    </row>
    <row r="69" spans="1:82" ht="12.75" customHeight="1">
      <c r="A69" s="275" t="str">
        <f>прил.3!B38</f>
        <v>Испытания пожарных кранов</v>
      </c>
      <c r="B69" s="164" t="s">
        <v>186</v>
      </c>
      <c r="C69" s="195">
        <f>прил.3!G38</f>
        <v>5000</v>
      </c>
      <c r="D69" s="195"/>
      <c r="E69" s="195"/>
      <c r="F69" s="196"/>
      <c r="G69" s="196">
        <f>прил.3!G38</f>
        <v>5000</v>
      </c>
      <c r="H69" s="196">
        <f t="shared" ref="H69:K72" si="21">IF(H$5&lt;=0,0,IF($G69=0,0,ROUND($G69/($H$5+$I$5+$J$5+$K$5),2)))</f>
        <v>5.26</v>
      </c>
      <c r="I69" s="196">
        <f t="shared" si="21"/>
        <v>5.26</v>
      </c>
      <c r="J69" s="196">
        <f t="shared" si="21"/>
        <v>0</v>
      </c>
      <c r="K69" s="196">
        <f t="shared" si="21"/>
        <v>5.26</v>
      </c>
    </row>
    <row r="70" spans="1:82" ht="12.75" customHeight="1">
      <c r="A70" s="275" t="str">
        <f>прил.3!B40</f>
        <v>Оценка качества огнезащитных работ</v>
      </c>
      <c r="B70" s="164" t="s">
        <v>186</v>
      </c>
      <c r="C70" s="195">
        <f>прил.3!G40</f>
        <v>4000</v>
      </c>
      <c r="D70" s="195"/>
      <c r="E70" s="195"/>
      <c r="F70" s="196"/>
      <c r="G70" s="196">
        <f>прил.3!G40</f>
        <v>4000</v>
      </c>
      <c r="H70" s="196">
        <f t="shared" si="21"/>
        <v>4.21</v>
      </c>
      <c r="I70" s="196">
        <f t="shared" si="21"/>
        <v>4.21</v>
      </c>
      <c r="J70" s="196">
        <f t="shared" si="21"/>
        <v>0</v>
      </c>
      <c r="K70" s="196">
        <f t="shared" si="21"/>
        <v>4.21</v>
      </c>
    </row>
    <row r="71" spans="1:82" ht="12.75" customHeight="1">
      <c r="A71" s="275" t="str">
        <f>прил.3!B41</f>
        <v>Испытание электрозащиты</v>
      </c>
      <c r="B71" s="164" t="s">
        <v>186</v>
      </c>
      <c r="C71" s="195">
        <f>прил.3!G41</f>
        <v>3400</v>
      </c>
      <c r="D71" s="195"/>
      <c r="E71" s="195"/>
      <c r="F71" s="196"/>
      <c r="G71" s="196">
        <f>прил.3!G41</f>
        <v>3400</v>
      </c>
      <c r="H71" s="196">
        <f t="shared" si="21"/>
        <v>3.58</v>
      </c>
      <c r="I71" s="196">
        <f t="shared" si="21"/>
        <v>3.58</v>
      </c>
      <c r="J71" s="196">
        <f t="shared" si="21"/>
        <v>0</v>
      </c>
      <c r="K71" s="196">
        <f t="shared" si="21"/>
        <v>3.58</v>
      </c>
    </row>
    <row r="72" spans="1:82" ht="12.75" customHeight="1">
      <c r="A72" s="275" t="str">
        <f>прил.3!B42</f>
        <v>Перекатка рукавов</v>
      </c>
      <c r="B72" s="164" t="s">
        <v>186</v>
      </c>
      <c r="C72" s="195">
        <f>прил.3!G42</f>
        <v>4400</v>
      </c>
      <c r="D72" s="195"/>
      <c r="E72" s="195"/>
      <c r="F72" s="196"/>
      <c r="G72" s="196">
        <f>прил.3!G42</f>
        <v>4400</v>
      </c>
      <c r="H72" s="196">
        <f t="shared" si="21"/>
        <v>4.63</v>
      </c>
      <c r="I72" s="196">
        <f t="shared" si="21"/>
        <v>4.63</v>
      </c>
      <c r="J72" s="196">
        <f t="shared" si="21"/>
        <v>0</v>
      </c>
      <c r="K72" s="196">
        <f t="shared" si="21"/>
        <v>4.63</v>
      </c>
    </row>
    <row r="73" spans="1:82" ht="12.75" customHeight="1">
      <c r="A73" s="183" t="s">
        <v>125</v>
      </c>
      <c r="B73" s="183"/>
      <c r="C73" s="198">
        <f t="shared" ref="C73:H73" si="22">SUM(C44:C72)</f>
        <v>568917</v>
      </c>
      <c r="D73" s="198">
        <f t="shared" si="22"/>
        <v>0</v>
      </c>
      <c r="E73" s="198">
        <f t="shared" si="22"/>
        <v>0</v>
      </c>
      <c r="F73" s="198">
        <f t="shared" si="22"/>
        <v>0</v>
      </c>
      <c r="G73" s="198">
        <f t="shared" si="22"/>
        <v>568917</v>
      </c>
      <c r="H73" s="198">
        <f t="shared" si="22"/>
        <v>598.23</v>
      </c>
      <c r="I73" s="198">
        <f t="shared" ref="I73:K73" si="23">SUM(I44:I72)</f>
        <v>598.23</v>
      </c>
      <c r="J73" s="198">
        <f t="shared" si="23"/>
        <v>0</v>
      </c>
      <c r="K73" s="198">
        <f t="shared" si="23"/>
        <v>598.23</v>
      </c>
    </row>
    <row r="74" spans="1:82" ht="24" customHeight="1">
      <c r="A74" s="551" t="s">
        <v>200</v>
      </c>
      <c r="B74" s="550"/>
      <c r="C74" s="550"/>
      <c r="D74" s="550"/>
      <c r="E74" s="550"/>
      <c r="F74" s="550"/>
      <c r="G74" s="550"/>
      <c r="H74" s="550"/>
      <c r="I74" s="550"/>
      <c r="J74" s="550"/>
      <c r="K74" s="550"/>
    </row>
    <row r="75" spans="1:82" ht="19.5" customHeight="1">
      <c r="A75" s="195" t="s">
        <v>201</v>
      </c>
      <c r="B75" s="195" t="s">
        <v>186</v>
      </c>
      <c r="C75" s="195">
        <f>прил.3!G65</f>
        <v>66569</v>
      </c>
      <c r="D75" s="195"/>
      <c r="E75" s="195"/>
      <c r="F75" s="196"/>
      <c r="G75" s="196">
        <f>прил.3!G65</f>
        <v>66569</v>
      </c>
      <c r="H75" s="196">
        <f>IF(H$5&lt;=0,0,IF($G75=0,0,ROUND($G75/($H$5+$I$5+$J$5+$K$5),2)))</f>
        <v>70</v>
      </c>
      <c r="I75" s="196">
        <f>IF(I$5&lt;=0,0,IF($G75=0,0,ROUND($G75/($H$5+$I$5+$J$5+$K$5),2)))</f>
        <v>70</v>
      </c>
      <c r="J75" s="196">
        <f>IF(J$5&lt;=0,0,IF($G75=0,0,ROUND($G75/($H$5+$I$5+$J$5+$K$5),2)))</f>
        <v>0</v>
      </c>
      <c r="K75" s="196">
        <f>IF(K$5&lt;=0,0,IF($G75=0,0,ROUND($G75/($H$5+$I$5+$J$5+$K$5),2)))</f>
        <v>70</v>
      </c>
    </row>
    <row r="76" spans="1:82" ht="12.75" hidden="1" customHeight="1">
      <c r="A76" s="195"/>
      <c r="B76" s="195"/>
      <c r="C76" s="195"/>
      <c r="D76" s="195"/>
      <c r="E76" s="195"/>
      <c r="F76" s="196"/>
      <c r="G76" s="196"/>
      <c r="H76" s="196"/>
      <c r="I76" s="196"/>
      <c r="J76" s="196"/>
      <c r="K76" s="196"/>
    </row>
    <row r="77" spans="1:82" ht="12.75" hidden="1" customHeight="1">
      <c r="A77" s="195"/>
      <c r="B77" s="195"/>
      <c r="C77" s="195"/>
      <c r="D77" s="195"/>
      <c r="E77" s="195"/>
      <c r="F77" s="196"/>
      <c r="G77" s="196"/>
      <c r="H77" s="196"/>
      <c r="I77" s="196"/>
      <c r="J77" s="196"/>
      <c r="K77" s="196"/>
    </row>
    <row r="78" spans="1:82" ht="12.75" hidden="1" customHeight="1">
      <c r="A78" s="195"/>
      <c r="B78" s="195"/>
      <c r="C78" s="195"/>
      <c r="D78" s="195"/>
      <c r="E78" s="195"/>
      <c r="F78" s="196"/>
      <c r="G78" s="196"/>
      <c r="H78" s="196"/>
      <c r="I78" s="196"/>
      <c r="J78" s="196"/>
      <c r="K78" s="196"/>
    </row>
    <row r="79" spans="1:82" s="131" customFormat="1">
      <c r="A79" s="198" t="s">
        <v>125</v>
      </c>
      <c r="B79" s="198"/>
      <c r="C79" s="198">
        <f>SUM(C75+C78)</f>
        <v>66569</v>
      </c>
      <c r="D79" s="198">
        <f>SUM(D75+D78)</f>
        <v>0</v>
      </c>
      <c r="E79" s="198">
        <f t="shared" ref="E79:K79" si="24">SUM(E75+E78)</f>
        <v>0</v>
      </c>
      <c r="F79" s="198">
        <f t="shared" si="24"/>
        <v>0</v>
      </c>
      <c r="G79" s="198">
        <f t="shared" si="24"/>
        <v>66569</v>
      </c>
      <c r="H79" s="198">
        <f t="shared" si="24"/>
        <v>70</v>
      </c>
      <c r="I79" s="198">
        <f t="shared" si="24"/>
        <v>70</v>
      </c>
      <c r="J79" s="198">
        <f t="shared" si="24"/>
        <v>0</v>
      </c>
      <c r="K79" s="198">
        <f t="shared" si="24"/>
        <v>70</v>
      </c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</row>
    <row r="80" spans="1:82" s="132" customFormat="1" ht="21" customHeight="1">
      <c r="A80" s="551" t="s">
        <v>202</v>
      </c>
      <c r="B80" s="550"/>
      <c r="C80" s="550"/>
      <c r="D80" s="550"/>
      <c r="E80" s="550"/>
      <c r="F80" s="550"/>
      <c r="G80" s="550"/>
      <c r="H80" s="550"/>
      <c r="I80" s="550"/>
      <c r="J80" s="550"/>
      <c r="K80" s="550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</row>
    <row r="81" spans="1:82" s="132" customFormat="1">
      <c r="A81" s="184" t="str">
        <f>прил.3!B73</f>
        <v>Затраты на хоз.нужды</v>
      </c>
      <c r="B81" s="164" t="s">
        <v>186</v>
      </c>
      <c r="C81" s="195">
        <f>прил.3!E81</f>
        <v>221180</v>
      </c>
      <c r="D81" s="195"/>
      <c r="E81" s="195"/>
      <c r="F81" s="196"/>
      <c r="G81" s="196">
        <f>прил.3!E81</f>
        <v>221180</v>
      </c>
      <c r="H81" s="196">
        <f t="shared" ref="H81:K93" si="25">IF(H$5&lt;=0,0,IF($G81=0,0,ROUND($G81/($H$5+$I$5+$J$5+$K$5),2)))</f>
        <v>232.58</v>
      </c>
      <c r="I81" s="196">
        <f t="shared" si="25"/>
        <v>232.58</v>
      </c>
      <c r="J81" s="196">
        <f t="shared" si="25"/>
        <v>0</v>
      </c>
      <c r="K81" s="196">
        <f t="shared" si="25"/>
        <v>232.58</v>
      </c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</row>
    <row r="82" spans="1:82" s="132" customFormat="1">
      <c r="A82" s="184" t="str">
        <f>прил.3!B87</f>
        <v>Медосмотр всего:</v>
      </c>
      <c r="B82" s="164" t="s">
        <v>186</v>
      </c>
      <c r="C82" s="195">
        <f>прил.3!G87</f>
        <v>226260</v>
      </c>
      <c r="D82" s="195"/>
      <c r="E82" s="195"/>
      <c r="F82" s="196"/>
      <c r="G82" s="196">
        <f>прил.3!G87</f>
        <v>226260</v>
      </c>
      <c r="H82" s="196">
        <f t="shared" si="25"/>
        <v>237.92</v>
      </c>
      <c r="I82" s="196">
        <f t="shared" si="25"/>
        <v>237.92</v>
      </c>
      <c r="J82" s="196">
        <f t="shared" si="25"/>
        <v>0</v>
      </c>
      <c r="K82" s="196">
        <f t="shared" si="25"/>
        <v>237.92</v>
      </c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</row>
    <row r="83" spans="1:82" s="132" customFormat="1">
      <c r="A83" s="184" t="str">
        <f>прил.3!B93</f>
        <v>1С сопровождение</v>
      </c>
      <c r="B83" s="164" t="s">
        <v>186</v>
      </c>
      <c r="C83" s="195">
        <f>прил.3!G93</f>
        <v>14832</v>
      </c>
      <c r="D83" s="195"/>
      <c r="E83" s="195"/>
      <c r="F83" s="196"/>
      <c r="G83" s="196">
        <f>прил.3!G93</f>
        <v>14832</v>
      </c>
      <c r="H83" s="196">
        <f t="shared" si="25"/>
        <v>15.6</v>
      </c>
      <c r="I83" s="196">
        <f t="shared" si="25"/>
        <v>15.6</v>
      </c>
      <c r="J83" s="196">
        <f t="shared" si="25"/>
        <v>0</v>
      </c>
      <c r="K83" s="196">
        <f t="shared" si="25"/>
        <v>15.6</v>
      </c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</row>
    <row r="84" spans="1:82" s="130" customFormat="1">
      <c r="A84" s="184" t="str">
        <f>прил.3!B94</f>
        <v>Электронная отчетность</v>
      </c>
      <c r="B84" s="164" t="s">
        <v>186</v>
      </c>
      <c r="C84" s="195">
        <f>прил.3!G94</f>
        <v>4400</v>
      </c>
      <c r="D84" s="195"/>
      <c r="E84" s="195"/>
      <c r="F84" s="196"/>
      <c r="G84" s="196">
        <f>прил.3!G94</f>
        <v>4400</v>
      </c>
      <c r="H84" s="196">
        <f t="shared" si="25"/>
        <v>4.63</v>
      </c>
      <c r="I84" s="196">
        <f t="shared" si="25"/>
        <v>4.63</v>
      </c>
      <c r="J84" s="196">
        <f t="shared" si="25"/>
        <v>0</v>
      </c>
      <c r="K84" s="196">
        <f t="shared" si="25"/>
        <v>4.63</v>
      </c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</row>
    <row r="85" spans="1:82" s="130" customFormat="1">
      <c r="A85" s="184" t="str">
        <f>прил.3!B98</f>
        <v>Перевыпуск сертификатов ЭЦП</v>
      </c>
      <c r="B85" s="164" t="s">
        <v>186</v>
      </c>
      <c r="C85" s="195">
        <f>прил.3!G98</f>
        <v>2500</v>
      </c>
      <c r="D85" s="195"/>
      <c r="E85" s="195"/>
      <c r="F85" s="196"/>
      <c r="G85" s="196">
        <f>прил.3!G98</f>
        <v>2500</v>
      </c>
      <c r="H85" s="196">
        <f>IF(H$5&lt;=0,0,IF($G85=0,0,ROUND($G85/($H$5+$I$5+$J$5+$K$5),2)))</f>
        <v>2.63</v>
      </c>
      <c r="I85" s="196">
        <f t="shared" si="25"/>
        <v>2.63</v>
      </c>
      <c r="J85" s="196">
        <f t="shared" si="25"/>
        <v>0</v>
      </c>
      <c r="K85" s="196">
        <f t="shared" si="25"/>
        <v>2.63</v>
      </c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</row>
    <row r="86" spans="1:82" s="132" customFormat="1">
      <c r="A86" s="184" t="str">
        <f>прил.3!B25</f>
        <v>Тревожная кнопка</v>
      </c>
      <c r="B86" s="164" t="s">
        <v>186</v>
      </c>
      <c r="C86" s="195">
        <f>прил.3!G25</f>
        <v>51157.999999999993</v>
      </c>
      <c r="D86" s="195"/>
      <c r="E86" s="195"/>
      <c r="F86" s="195"/>
      <c r="G86" s="195">
        <f>прил.3!G25</f>
        <v>51157.999999999993</v>
      </c>
      <c r="H86" s="196">
        <f t="shared" ref="H86:K94" si="26">IF(H$5&lt;=0,0,IF($G86=0,0,ROUND($G86/($H$5+$I$5+$J$5+$K$5),2)))</f>
        <v>53.79</v>
      </c>
      <c r="I86" s="196">
        <f t="shared" si="25"/>
        <v>53.79</v>
      </c>
      <c r="J86" s="196">
        <f t="shared" si="25"/>
        <v>0</v>
      </c>
      <c r="K86" s="196">
        <f t="shared" si="25"/>
        <v>53.79</v>
      </c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</row>
    <row r="87" spans="1:82" s="132" customFormat="1" ht="25.5">
      <c r="A87" s="184" t="str">
        <f>прил.3!B26</f>
        <v>Утилизация отходов (ртутосодержащие лампы)</v>
      </c>
      <c r="B87" s="164" t="s">
        <v>186</v>
      </c>
      <c r="C87" s="195">
        <f>прил.3!G26</f>
        <v>2100</v>
      </c>
      <c r="D87" s="195"/>
      <c r="E87" s="195"/>
      <c r="F87" s="196"/>
      <c r="G87" s="195">
        <f>прил.3!G26</f>
        <v>2100</v>
      </c>
      <c r="H87" s="196">
        <f t="shared" si="26"/>
        <v>2.21</v>
      </c>
      <c r="I87" s="196">
        <f t="shared" si="25"/>
        <v>2.21</v>
      </c>
      <c r="J87" s="196">
        <f t="shared" si="25"/>
        <v>0</v>
      </c>
      <c r="K87" s="196">
        <f t="shared" si="25"/>
        <v>2.21</v>
      </c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</row>
    <row r="88" spans="1:82" s="132" customFormat="1" hidden="1">
      <c r="A88" s="184"/>
      <c r="B88" s="164" t="s">
        <v>186</v>
      </c>
      <c r="C88" s="195">
        <f>прил.3!G97</f>
        <v>0</v>
      </c>
      <c r="D88" s="195"/>
      <c r="E88" s="195"/>
      <c r="F88" s="196"/>
      <c r="G88" s="196">
        <f>прил.3!G97</f>
        <v>0</v>
      </c>
      <c r="H88" s="196">
        <f t="shared" si="26"/>
        <v>0</v>
      </c>
      <c r="I88" s="196">
        <f t="shared" si="25"/>
        <v>0</v>
      </c>
      <c r="J88" s="196">
        <f t="shared" si="25"/>
        <v>0</v>
      </c>
      <c r="K88" s="196">
        <f t="shared" si="25"/>
        <v>0</v>
      </c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</row>
    <row r="89" spans="1:82" s="132" customFormat="1" hidden="1">
      <c r="A89" s="184"/>
      <c r="B89" s="164" t="s">
        <v>186</v>
      </c>
      <c r="C89" s="195"/>
      <c r="D89" s="195"/>
      <c r="E89" s="195"/>
      <c r="F89" s="196"/>
      <c r="G89" s="196"/>
      <c r="H89" s="196">
        <f t="shared" si="26"/>
        <v>0</v>
      </c>
      <c r="I89" s="196">
        <f t="shared" si="25"/>
        <v>0</v>
      </c>
      <c r="J89" s="196">
        <f t="shared" si="25"/>
        <v>0</v>
      </c>
      <c r="K89" s="196">
        <f t="shared" si="25"/>
        <v>0</v>
      </c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</row>
    <row r="90" spans="1:82" s="132" customFormat="1" hidden="1">
      <c r="A90" s="184"/>
      <c r="B90" s="164" t="s">
        <v>186</v>
      </c>
      <c r="C90" s="195">
        <f>прил.3!G99</f>
        <v>0</v>
      </c>
      <c r="D90" s="195"/>
      <c r="E90" s="195"/>
      <c r="F90" s="196"/>
      <c r="G90" s="196"/>
      <c r="H90" s="196">
        <f t="shared" si="26"/>
        <v>0</v>
      </c>
      <c r="I90" s="196">
        <f t="shared" si="25"/>
        <v>0</v>
      </c>
      <c r="J90" s="196">
        <f t="shared" si="25"/>
        <v>0</v>
      </c>
      <c r="K90" s="196">
        <f t="shared" si="25"/>
        <v>0</v>
      </c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</row>
    <row r="91" spans="1:82" s="132" customFormat="1" hidden="1">
      <c r="A91" s="184"/>
      <c r="B91" s="164" t="s">
        <v>186</v>
      </c>
      <c r="C91" s="195">
        <f>прил.3!G100</f>
        <v>0</v>
      </c>
      <c r="D91" s="195"/>
      <c r="E91" s="195"/>
      <c r="F91" s="196"/>
      <c r="G91" s="196"/>
      <c r="H91" s="196">
        <f t="shared" si="26"/>
        <v>0</v>
      </c>
      <c r="I91" s="196">
        <f t="shared" si="25"/>
        <v>0</v>
      </c>
      <c r="J91" s="196">
        <f t="shared" si="25"/>
        <v>0</v>
      </c>
      <c r="K91" s="196">
        <f t="shared" si="25"/>
        <v>0</v>
      </c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</row>
    <row r="92" spans="1:82" s="132" customFormat="1" hidden="1">
      <c r="A92" s="168"/>
      <c r="B92" s="164" t="s">
        <v>186</v>
      </c>
      <c r="C92" s="195">
        <f>прил.3!G101</f>
        <v>0</v>
      </c>
      <c r="D92" s="195"/>
      <c r="E92" s="195"/>
      <c r="F92" s="196"/>
      <c r="G92" s="196"/>
      <c r="H92" s="196">
        <f t="shared" si="26"/>
        <v>0</v>
      </c>
      <c r="I92" s="196">
        <f t="shared" si="25"/>
        <v>0</v>
      </c>
      <c r="J92" s="196">
        <f t="shared" si="25"/>
        <v>0</v>
      </c>
      <c r="K92" s="196">
        <f t="shared" si="25"/>
        <v>0</v>
      </c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</row>
    <row r="93" spans="1:82" s="132" customFormat="1" hidden="1">
      <c r="A93" s="168"/>
      <c r="B93" s="164" t="s">
        <v>186</v>
      </c>
      <c r="C93" s="195"/>
      <c r="D93" s="195"/>
      <c r="E93" s="195"/>
      <c r="F93" s="196"/>
      <c r="G93" s="196"/>
      <c r="H93" s="196">
        <f t="shared" si="26"/>
        <v>0</v>
      </c>
      <c r="I93" s="196">
        <f t="shared" si="25"/>
        <v>0</v>
      </c>
      <c r="J93" s="196">
        <f t="shared" si="25"/>
        <v>0</v>
      </c>
      <c r="K93" s="196">
        <f t="shared" si="25"/>
        <v>0</v>
      </c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</row>
    <row r="94" spans="1:82" s="132" customFormat="1">
      <c r="A94" s="340" t="str">
        <f>прил.3!B104</f>
        <v>Госпошлина</v>
      </c>
      <c r="B94" s="164" t="s">
        <v>186</v>
      </c>
      <c r="C94" s="195">
        <f>прил.3!G104</f>
        <v>0</v>
      </c>
      <c r="D94" s="195"/>
      <c r="E94" s="195"/>
      <c r="F94" s="196"/>
      <c r="G94" s="196">
        <f>прил.3!G104</f>
        <v>0</v>
      </c>
      <c r="H94" s="196">
        <f t="shared" si="26"/>
        <v>0</v>
      </c>
      <c r="I94" s="196">
        <f t="shared" si="26"/>
        <v>0</v>
      </c>
      <c r="J94" s="196">
        <f t="shared" si="26"/>
        <v>0</v>
      </c>
      <c r="K94" s="196">
        <f t="shared" si="26"/>
        <v>0</v>
      </c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</row>
    <row r="95" spans="1:82" s="130" customFormat="1">
      <c r="A95" s="185" t="s">
        <v>203</v>
      </c>
      <c r="B95" s="185"/>
      <c r="C95" s="201">
        <f>SUM(C81:C94)</f>
        <v>522430</v>
      </c>
      <c r="D95" s="201">
        <f>SUM(D81:D93)</f>
        <v>0</v>
      </c>
      <c r="E95" s="201">
        <f t="shared" ref="E95:F95" si="27">SUM(E81:E93)</f>
        <v>0</v>
      </c>
      <c r="F95" s="201">
        <f t="shared" si="27"/>
        <v>0</v>
      </c>
      <c r="G95" s="201">
        <f>SUM(G81:G94)</f>
        <v>522430</v>
      </c>
      <c r="H95" s="201">
        <f>SUM(H81:H94)</f>
        <v>549.36</v>
      </c>
      <c r="I95" s="201">
        <f>SUM(I81:I94)</f>
        <v>549.36</v>
      </c>
      <c r="J95" s="201">
        <f>SUM(J81:J94)</f>
        <v>0</v>
      </c>
      <c r="K95" s="201">
        <f>SUM(K81:K94)</f>
        <v>549.36</v>
      </c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</row>
    <row r="96" spans="1:82" s="132" customFormat="1" ht="31.5" hidden="1" customHeight="1">
      <c r="A96" s="556" t="s">
        <v>204</v>
      </c>
      <c r="B96" s="556"/>
      <c r="C96" s="556"/>
      <c r="D96" s="556"/>
      <c r="E96" s="556"/>
      <c r="F96" s="556"/>
      <c r="G96" s="556"/>
      <c r="H96" s="556"/>
      <c r="I96" s="556"/>
      <c r="J96" s="556"/>
      <c r="K96" s="55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</row>
    <row r="97" spans="1:82" s="130" customFormat="1" hidden="1">
      <c r="A97" s="186" t="s">
        <v>165</v>
      </c>
      <c r="B97" s="164" t="s">
        <v>186</v>
      </c>
      <c r="C97" s="195">
        <f>прил.4!F6</f>
        <v>0</v>
      </c>
      <c r="D97" s="195"/>
      <c r="E97" s="195"/>
      <c r="F97" s="196"/>
      <c r="G97" s="196">
        <f>прил.4!F6</f>
        <v>0</v>
      </c>
      <c r="H97" s="196">
        <f t="shared" ref="H97:K98" si="28">IF(H$5&lt;=0,0,IF($G97=0,0,ROUND($G97/($H$5+$I$5+$J$5+$K$5),2)))</f>
        <v>0</v>
      </c>
      <c r="I97" s="196">
        <f t="shared" si="28"/>
        <v>0</v>
      </c>
      <c r="J97" s="196">
        <f t="shared" si="28"/>
        <v>0</v>
      </c>
      <c r="K97" s="196">
        <f t="shared" si="28"/>
        <v>0</v>
      </c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</row>
    <row r="98" spans="1:82" s="132" customFormat="1" hidden="1">
      <c r="A98" s="186" t="s">
        <v>166</v>
      </c>
      <c r="B98" s="164" t="s">
        <v>186</v>
      </c>
      <c r="C98" s="195">
        <f>прил.4!F7</f>
        <v>0</v>
      </c>
      <c r="D98" s="195"/>
      <c r="E98" s="195"/>
      <c r="F98" s="196"/>
      <c r="G98" s="196">
        <f>прил.4!F7</f>
        <v>0</v>
      </c>
      <c r="H98" s="196">
        <f t="shared" si="28"/>
        <v>0</v>
      </c>
      <c r="I98" s="196">
        <f t="shared" si="28"/>
        <v>0</v>
      </c>
      <c r="J98" s="196">
        <f t="shared" si="28"/>
        <v>0</v>
      </c>
      <c r="K98" s="196">
        <f t="shared" si="28"/>
        <v>0</v>
      </c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</row>
    <row r="99" spans="1:82" s="132" customFormat="1" hidden="1">
      <c r="A99" s="183" t="s">
        <v>203</v>
      </c>
      <c r="B99" s="183"/>
      <c r="C99" s="198">
        <f>C97+C98</f>
        <v>0</v>
      </c>
      <c r="D99" s="198">
        <f>D97+D98</f>
        <v>0</v>
      </c>
      <c r="E99" s="198">
        <f t="shared" ref="E99:K99" si="29">E97+E98</f>
        <v>0</v>
      </c>
      <c r="F99" s="198">
        <f t="shared" si="29"/>
        <v>0</v>
      </c>
      <c r="G99" s="198">
        <f t="shared" si="29"/>
        <v>0</v>
      </c>
      <c r="H99" s="198">
        <f t="shared" si="29"/>
        <v>0</v>
      </c>
      <c r="I99" s="198">
        <f t="shared" si="29"/>
        <v>0</v>
      </c>
      <c r="J99" s="198">
        <f t="shared" si="29"/>
        <v>0</v>
      </c>
      <c r="K99" s="198">
        <f t="shared" si="29"/>
        <v>0</v>
      </c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</row>
    <row r="100" spans="1:82" s="132" customFormat="1" ht="21.75" hidden="1" customHeight="1">
      <c r="A100" s="552" t="s">
        <v>205</v>
      </c>
      <c r="B100" s="552"/>
      <c r="C100" s="552"/>
      <c r="D100" s="552"/>
      <c r="E100" s="552"/>
      <c r="F100" s="552"/>
      <c r="G100" s="552"/>
      <c r="H100" s="552"/>
      <c r="I100" s="552"/>
      <c r="J100" s="552"/>
      <c r="K100" s="552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</row>
    <row r="101" spans="1:82" s="130" customFormat="1" hidden="1">
      <c r="A101" s="186" t="s">
        <v>169</v>
      </c>
      <c r="B101" s="164" t="s">
        <v>186</v>
      </c>
      <c r="C101" s="202">
        <f>прил.4!F12</f>
        <v>0</v>
      </c>
      <c r="D101" s="202"/>
      <c r="E101" s="195"/>
      <c r="F101" s="196"/>
      <c r="G101" s="196">
        <f>прил.4!F12</f>
        <v>0</v>
      </c>
      <c r="H101" s="196">
        <f t="shared" ref="H101:K104" si="30">IF(H$5&lt;=0,0,IF($G101=0,0,ROUND($G101/($H$5+$I$5+$J$5+$K$5),2)))</f>
        <v>0</v>
      </c>
      <c r="I101" s="196">
        <f t="shared" si="30"/>
        <v>0</v>
      </c>
      <c r="J101" s="196">
        <f t="shared" si="30"/>
        <v>0</v>
      </c>
      <c r="K101" s="196">
        <f t="shared" si="30"/>
        <v>0</v>
      </c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</row>
    <row r="102" spans="1:82" s="132" customFormat="1" hidden="1">
      <c r="A102" s="186" t="s">
        <v>170</v>
      </c>
      <c r="B102" s="164" t="s">
        <v>186</v>
      </c>
      <c r="C102" s="202">
        <f>прил.4!F13</f>
        <v>0</v>
      </c>
      <c r="D102" s="202"/>
      <c r="E102" s="195"/>
      <c r="F102" s="196"/>
      <c r="G102" s="196">
        <f>прил.4!F13</f>
        <v>0</v>
      </c>
      <c r="H102" s="196">
        <f t="shared" si="30"/>
        <v>0</v>
      </c>
      <c r="I102" s="196">
        <f t="shared" si="30"/>
        <v>0</v>
      </c>
      <c r="J102" s="196">
        <f t="shared" si="30"/>
        <v>0</v>
      </c>
      <c r="K102" s="196">
        <f t="shared" si="30"/>
        <v>0</v>
      </c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</row>
    <row r="103" spans="1:82" s="132" customFormat="1" hidden="1">
      <c r="A103" s="186" t="s">
        <v>171</v>
      </c>
      <c r="B103" s="164" t="s">
        <v>186</v>
      </c>
      <c r="C103" s="202">
        <f>ROUND(прил.4!F14/12,2)</f>
        <v>0</v>
      </c>
      <c r="D103" s="202"/>
      <c r="E103" s="202"/>
      <c r="F103" s="196"/>
      <c r="G103" s="196">
        <f>прил.4!F14</f>
        <v>0</v>
      </c>
      <c r="H103" s="196">
        <f t="shared" si="30"/>
        <v>0</v>
      </c>
      <c r="I103" s="196">
        <f t="shared" si="30"/>
        <v>0</v>
      </c>
      <c r="J103" s="196">
        <f t="shared" si="30"/>
        <v>0</v>
      </c>
      <c r="K103" s="196">
        <f t="shared" si="30"/>
        <v>0</v>
      </c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</row>
    <row r="104" spans="1:82" s="132" customFormat="1" hidden="1">
      <c r="A104" s="186"/>
      <c r="B104" s="164" t="s">
        <v>186</v>
      </c>
      <c r="C104" s="202"/>
      <c r="D104" s="202"/>
      <c r="E104" s="202"/>
      <c r="F104" s="196"/>
      <c r="G104" s="196"/>
      <c r="H104" s="196">
        <f t="shared" si="30"/>
        <v>0</v>
      </c>
      <c r="I104" s="196">
        <f t="shared" si="30"/>
        <v>0</v>
      </c>
      <c r="J104" s="196">
        <f t="shared" si="30"/>
        <v>0</v>
      </c>
      <c r="K104" s="196">
        <f t="shared" si="30"/>
        <v>0</v>
      </c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</row>
    <row r="105" spans="1:82" s="132" customFormat="1" hidden="1">
      <c r="A105" s="183" t="s">
        <v>203</v>
      </c>
      <c r="B105" s="183"/>
      <c r="C105" s="198">
        <f>C101+C102+C103+C104</f>
        <v>0</v>
      </c>
      <c r="D105" s="198">
        <f>D101+D102+D103+D104</f>
        <v>0</v>
      </c>
      <c r="E105" s="198">
        <f t="shared" ref="E105:K105" si="31">E101+E102+E103+E104</f>
        <v>0</v>
      </c>
      <c r="F105" s="198">
        <f t="shared" si="31"/>
        <v>0</v>
      </c>
      <c r="G105" s="198">
        <f t="shared" si="31"/>
        <v>0</v>
      </c>
      <c r="H105" s="198">
        <f t="shared" si="31"/>
        <v>0</v>
      </c>
      <c r="I105" s="198">
        <f t="shared" si="31"/>
        <v>0</v>
      </c>
      <c r="J105" s="198">
        <f t="shared" si="31"/>
        <v>0</v>
      </c>
      <c r="K105" s="198">
        <f t="shared" si="31"/>
        <v>0</v>
      </c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</row>
    <row r="106" spans="1:82" s="132" customFormat="1" ht="36.75" hidden="1" customHeight="1">
      <c r="A106" s="556" t="s">
        <v>206</v>
      </c>
      <c r="B106" s="556"/>
      <c r="C106" s="556"/>
      <c r="D106" s="556"/>
      <c r="E106" s="556"/>
      <c r="F106" s="556"/>
      <c r="G106" s="556"/>
      <c r="H106" s="556"/>
      <c r="I106" s="556"/>
      <c r="J106" s="556"/>
      <c r="K106" s="55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</row>
    <row r="107" spans="1:82" s="132" customFormat="1" hidden="1">
      <c r="A107" s="186" t="s">
        <v>176</v>
      </c>
      <c r="B107" s="164" t="s">
        <v>186</v>
      </c>
      <c r="C107" s="202">
        <f>прил.4!F22</f>
        <v>0</v>
      </c>
      <c r="D107" s="202"/>
      <c r="E107" s="195"/>
      <c r="F107" s="196"/>
      <c r="G107" s="196">
        <f>прил.4!F22</f>
        <v>0</v>
      </c>
      <c r="H107" s="196">
        <f>IF(H$5&lt;=0,0,IF($G107=0,0,ROUND($G107/($H$5+$I$5+$J$5+$K$5),2)))</f>
        <v>0</v>
      </c>
      <c r="I107" s="196">
        <f>IF(I$5&lt;=0,0,IF($G107=0,0,ROUND($G107/($H$5+$I$5+$J$5+$K$5),2)))</f>
        <v>0</v>
      </c>
      <c r="J107" s="196">
        <f>IF(J$5&lt;=0,0,IF($G107=0,0,ROUND($G107/($H$5+$I$5+$J$5+$K$5),2)))</f>
        <v>0</v>
      </c>
      <c r="K107" s="196">
        <f>IF(K$5&lt;=0,0,IF($G107=0,0,ROUND($G107/($H$5+$I$5+$J$5+$K$5),2)))</f>
        <v>0</v>
      </c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</row>
    <row r="108" spans="1:82" s="132" customFormat="1" hidden="1">
      <c r="A108" s="183" t="s">
        <v>203</v>
      </c>
      <c r="B108" s="183"/>
      <c r="C108" s="198">
        <f>C107</f>
        <v>0</v>
      </c>
      <c r="D108" s="198">
        <f>D107</f>
        <v>0</v>
      </c>
      <c r="E108" s="198">
        <f t="shared" ref="E108:K108" si="32">E107</f>
        <v>0</v>
      </c>
      <c r="F108" s="198">
        <f t="shared" si="32"/>
        <v>0</v>
      </c>
      <c r="G108" s="198">
        <f t="shared" si="32"/>
        <v>0</v>
      </c>
      <c r="H108" s="198">
        <f t="shared" si="32"/>
        <v>0</v>
      </c>
      <c r="I108" s="198">
        <f t="shared" si="32"/>
        <v>0</v>
      </c>
      <c r="J108" s="198">
        <f t="shared" si="32"/>
        <v>0</v>
      </c>
      <c r="K108" s="198">
        <f t="shared" si="32"/>
        <v>0</v>
      </c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</row>
    <row r="109" spans="1:82" s="132" customFormat="1" ht="25.5" hidden="1" customHeight="1">
      <c r="A109" s="552" t="s">
        <v>207</v>
      </c>
      <c r="B109" s="552"/>
      <c r="C109" s="552"/>
      <c r="D109" s="552"/>
      <c r="E109" s="552"/>
      <c r="F109" s="552"/>
      <c r="G109" s="552"/>
      <c r="H109" s="552"/>
      <c r="I109" s="552"/>
      <c r="J109" s="552"/>
      <c r="K109" s="552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</row>
    <row r="110" spans="1:82" s="133" customFormat="1" hidden="1">
      <c r="A110" s="186"/>
      <c r="B110" s="164" t="s">
        <v>186</v>
      </c>
      <c r="C110" s="202">
        <f>прил.4!F29</f>
        <v>0</v>
      </c>
      <c r="D110" s="202"/>
      <c r="E110" s="195"/>
      <c r="F110" s="196"/>
      <c r="G110" s="196"/>
      <c r="H110" s="196">
        <f t="shared" ref="H110:K111" si="33">IF(H$5&lt;=0,0,IF($G110=0,0,ROUND($G110/($H$5+$I$5+$J$5+$K$5),2)))</f>
        <v>0</v>
      </c>
      <c r="I110" s="196">
        <f t="shared" si="33"/>
        <v>0</v>
      </c>
      <c r="J110" s="196">
        <f t="shared" si="33"/>
        <v>0</v>
      </c>
      <c r="K110" s="196">
        <f t="shared" si="33"/>
        <v>0</v>
      </c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</row>
    <row r="111" spans="1:82" hidden="1">
      <c r="A111" s="186"/>
      <c r="B111" s="164" t="s">
        <v>186</v>
      </c>
      <c r="C111" s="202">
        <f>прил.4!F30</f>
        <v>0</v>
      </c>
      <c r="D111" s="202"/>
      <c r="E111" s="195"/>
      <c r="F111" s="196"/>
      <c r="G111" s="196"/>
      <c r="H111" s="196">
        <f t="shared" si="33"/>
        <v>0</v>
      </c>
      <c r="I111" s="196">
        <f t="shared" si="33"/>
        <v>0</v>
      </c>
      <c r="J111" s="196">
        <f t="shared" si="33"/>
        <v>0</v>
      </c>
      <c r="K111" s="196">
        <f t="shared" si="33"/>
        <v>0</v>
      </c>
    </row>
    <row r="112" spans="1:82" hidden="1">
      <c r="A112" s="183" t="s">
        <v>203</v>
      </c>
      <c r="B112" s="183"/>
      <c r="C112" s="198">
        <f>C110+C111</f>
        <v>0</v>
      </c>
      <c r="D112" s="198">
        <f>D110+D111</f>
        <v>0</v>
      </c>
      <c r="E112" s="198">
        <f t="shared" ref="E112:K112" si="34">E110+E111</f>
        <v>0</v>
      </c>
      <c r="F112" s="198">
        <f t="shared" si="34"/>
        <v>0</v>
      </c>
      <c r="G112" s="198">
        <f t="shared" si="34"/>
        <v>0</v>
      </c>
      <c r="H112" s="198">
        <f t="shared" si="34"/>
        <v>0</v>
      </c>
      <c r="I112" s="198">
        <f t="shared" si="34"/>
        <v>0</v>
      </c>
      <c r="J112" s="198">
        <f t="shared" si="34"/>
        <v>0</v>
      </c>
      <c r="K112" s="198">
        <f t="shared" si="34"/>
        <v>0</v>
      </c>
    </row>
    <row r="113" spans="1:82" ht="26.25" customHeight="1">
      <c r="A113" s="551" t="s">
        <v>208</v>
      </c>
      <c r="B113" s="550"/>
      <c r="C113" s="550"/>
      <c r="D113" s="550"/>
      <c r="E113" s="550"/>
      <c r="F113" s="550"/>
      <c r="G113" s="550"/>
      <c r="H113" s="550"/>
      <c r="I113" s="550"/>
      <c r="J113" s="550"/>
      <c r="K113" s="550"/>
    </row>
    <row r="114" spans="1:82">
      <c r="A114" s="182" t="s">
        <v>209</v>
      </c>
      <c r="B114" s="164" t="s">
        <v>186</v>
      </c>
      <c r="C114" s="195">
        <f>прил.5!I6+прил.5!I7+прил.5!I8</f>
        <v>164968.35999999999</v>
      </c>
      <c r="D114" s="195"/>
      <c r="E114" s="195"/>
      <c r="F114" s="196"/>
      <c r="G114" s="196">
        <f>прил.5!I6+прил.5!I7+прил.5!I8</f>
        <v>164968.35999999999</v>
      </c>
      <c r="H114" s="196">
        <f t="shared" ref="H114:K119" si="35">IF(H$5&lt;=0,0,IF($G114=0,0,ROUND($G114/($H$5+$I$5+$J$5+$K$5),2)))</f>
        <v>173.47</v>
      </c>
      <c r="I114" s="196">
        <f t="shared" si="35"/>
        <v>173.47</v>
      </c>
      <c r="J114" s="196">
        <f t="shared" si="35"/>
        <v>0</v>
      </c>
      <c r="K114" s="196">
        <f t="shared" si="35"/>
        <v>173.47</v>
      </c>
    </row>
    <row r="115" spans="1:82">
      <c r="A115" s="182" t="s">
        <v>210</v>
      </c>
      <c r="B115" s="164" t="s">
        <v>186</v>
      </c>
      <c r="C115" s="195">
        <f>прил.5!I9+прил.5!I10+прил.5!I11</f>
        <v>120775.06</v>
      </c>
      <c r="D115" s="195"/>
      <c r="E115" s="195"/>
      <c r="F115" s="196"/>
      <c r="G115" s="196">
        <f>прил.5!I9+прил.5!I10+прил.5!I11</f>
        <v>120775.06</v>
      </c>
      <c r="H115" s="196">
        <f t="shared" si="35"/>
        <v>127</v>
      </c>
      <c r="I115" s="196">
        <f t="shared" si="35"/>
        <v>127</v>
      </c>
      <c r="J115" s="196">
        <f t="shared" si="35"/>
        <v>0</v>
      </c>
      <c r="K115" s="196">
        <f t="shared" si="35"/>
        <v>127</v>
      </c>
    </row>
    <row r="116" spans="1:82">
      <c r="A116" s="182" t="s">
        <v>226</v>
      </c>
      <c r="B116" s="164" t="s">
        <v>186</v>
      </c>
      <c r="C116" s="195">
        <f>прил.5!I12+прил.5!I13+прил.5!I14+прил.5!I15</f>
        <v>161217.31</v>
      </c>
      <c r="D116" s="195"/>
      <c r="E116" s="195"/>
      <c r="F116" s="196"/>
      <c r="G116" s="196">
        <f>прил.5!I12+прил.5!I13+прил.5!I14+прил.5!I15</f>
        <v>161217.31</v>
      </c>
      <c r="H116" s="196">
        <f t="shared" si="35"/>
        <v>169.52</v>
      </c>
      <c r="I116" s="196">
        <f t="shared" si="35"/>
        <v>169.52</v>
      </c>
      <c r="J116" s="196">
        <f t="shared" si="35"/>
        <v>0</v>
      </c>
      <c r="K116" s="196">
        <f t="shared" si="35"/>
        <v>169.52</v>
      </c>
    </row>
    <row r="117" spans="1:82">
      <c r="A117" s="159" t="s">
        <v>211</v>
      </c>
      <c r="B117" s="164" t="s">
        <v>186</v>
      </c>
      <c r="C117" s="195">
        <f>прил.5!I16+прил.5!I17+прил.5!I18</f>
        <v>1699537.77</v>
      </c>
      <c r="D117" s="195"/>
      <c r="E117" s="195"/>
      <c r="F117" s="196"/>
      <c r="G117" s="196">
        <f>прил.5!I16+прил.5!I17+прил.5!I18</f>
        <v>1699537.77</v>
      </c>
      <c r="H117" s="196">
        <f t="shared" si="35"/>
        <v>1787.11</v>
      </c>
      <c r="I117" s="196">
        <f t="shared" si="35"/>
        <v>1787.11</v>
      </c>
      <c r="J117" s="196">
        <f t="shared" si="35"/>
        <v>0</v>
      </c>
      <c r="K117" s="196">
        <f t="shared" si="35"/>
        <v>1787.11</v>
      </c>
    </row>
    <row r="118" spans="1:82">
      <c r="A118" s="159" t="s">
        <v>212</v>
      </c>
      <c r="B118" s="164" t="s">
        <v>186</v>
      </c>
      <c r="C118" s="195">
        <f>прил.5!I19+прил.5!I20+прил.5!I21</f>
        <v>1153472.32</v>
      </c>
      <c r="D118" s="195"/>
      <c r="E118" s="195"/>
      <c r="F118" s="196"/>
      <c r="G118" s="196">
        <f>прил.5!I19+прил.5!I20+прил.5!I21</f>
        <v>1153472.32</v>
      </c>
      <c r="H118" s="196">
        <f t="shared" si="35"/>
        <v>1212.9000000000001</v>
      </c>
      <c r="I118" s="196">
        <f t="shared" si="35"/>
        <v>1212.9000000000001</v>
      </c>
      <c r="J118" s="196">
        <f t="shared" si="35"/>
        <v>0</v>
      </c>
      <c r="K118" s="196">
        <f t="shared" si="35"/>
        <v>1212.9000000000001</v>
      </c>
    </row>
    <row r="119" spans="1:82" ht="25.5">
      <c r="A119" s="182" t="str">
        <f>[1]прил.5!B31</f>
        <v>вывоз жидких бытовых отходов и объемов жидких бытовых отходов</v>
      </c>
      <c r="B119" s="164" t="s">
        <v>186</v>
      </c>
      <c r="C119" s="195"/>
      <c r="D119" s="195"/>
      <c r="E119" s="195"/>
      <c r="F119" s="196"/>
      <c r="G119" s="196"/>
      <c r="H119" s="196">
        <f t="shared" si="35"/>
        <v>0</v>
      </c>
      <c r="I119" s="196">
        <f t="shared" si="35"/>
        <v>0</v>
      </c>
      <c r="J119" s="196">
        <f t="shared" si="35"/>
        <v>0</v>
      </c>
      <c r="K119" s="196">
        <f t="shared" si="35"/>
        <v>0</v>
      </c>
    </row>
    <row r="120" spans="1:82" s="134" customFormat="1">
      <c r="A120" s="187" t="s">
        <v>203</v>
      </c>
      <c r="B120" s="188"/>
      <c r="C120" s="203">
        <f>SUM(C114:C119)</f>
        <v>3299970.8200000003</v>
      </c>
      <c r="D120" s="203">
        <f>SUM(D114:D119)</f>
        <v>0</v>
      </c>
      <c r="E120" s="203">
        <f t="shared" ref="E120:K120" si="36">SUM(E114:E119)</f>
        <v>0</v>
      </c>
      <c r="F120" s="203">
        <f t="shared" si="36"/>
        <v>0</v>
      </c>
      <c r="G120" s="203">
        <f t="shared" si="36"/>
        <v>3299970.8200000003</v>
      </c>
      <c r="H120" s="203">
        <f t="shared" si="36"/>
        <v>3470</v>
      </c>
      <c r="I120" s="203">
        <f t="shared" si="36"/>
        <v>3470</v>
      </c>
      <c r="J120" s="203">
        <f t="shared" si="36"/>
        <v>0</v>
      </c>
      <c r="K120" s="203">
        <f t="shared" si="36"/>
        <v>3470</v>
      </c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</row>
    <row r="121" spans="1:82" ht="25.5">
      <c r="A121" s="189" t="s">
        <v>213</v>
      </c>
      <c r="B121" s="189"/>
      <c r="C121" s="197">
        <f t="shared" ref="C121:K121" si="37">C32+C73+C79+C95+C99+C105+C108+C112+C120</f>
        <v>42157787.190000005</v>
      </c>
      <c r="D121" s="197">
        <f t="shared" si="37"/>
        <v>29578032.370000001</v>
      </c>
      <c r="E121" s="197">
        <f t="shared" si="37"/>
        <v>31102.04</v>
      </c>
      <c r="F121" s="197">
        <f t="shared" si="37"/>
        <v>31102.03</v>
      </c>
      <c r="G121" s="197">
        <f t="shared" si="37"/>
        <v>12579754.82</v>
      </c>
      <c r="H121" s="197">
        <f t="shared" si="37"/>
        <v>13227.93</v>
      </c>
      <c r="I121" s="197">
        <f t="shared" si="37"/>
        <v>13227.93</v>
      </c>
      <c r="J121" s="197">
        <f t="shared" si="37"/>
        <v>0</v>
      </c>
      <c r="K121" s="197">
        <f t="shared" si="37"/>
        <v>13227.93</v>
      </c>
    </row>
    <row r="122" spans="1:82" ht="27.75" customHeight="1">
      <c r="A122" s="548" t="s">
        <v>214</v>
      </c>
      <c r="B122" s="549"/>
      <c r="C122" s="549"/>
      <c r="D122" s="549"/>
      <c r="E122" s="549"/>
      <c r="F122" s="549"/>
      <c r="G122" s="549"/>
      <c r="H122" s="549"/>
      <c r="I122" s="549"/>
      <c r="J122" s="549"/>
      <c r="K122" s="549"/>
    </row>
    <row r="123" spans="1:82">
      <c r="A123" s="168" t="s">
        <v>215</v>
      </c>
      <c r="B123" s="164" t="s">
        <v>186</v>
      </c>
      <c r="C123" s="195">
        <f>прил.6!E6</f>
        <v>119926</v>
      </c>
      <c r="D123" s="195"/>
      <c r="E123" s="195"/>
      <c r="F123" s="196"/>
      <c r="G123" s="196">
        <f>прил.6!E6</f>
        <v>119926</v>
      </c>
      <c r="H123" s="196">
        <f t="shared" ref="H123:K130" si="38">IF(H$5&lt;=0,0,IF($G123=0,0,ROUND($G123/($H$5+$I$5+$J$5+$K$5),2)))</f>
        <v>126.11</v>
      </c>
      <c r="I123" s="196">
        <f t="shared" si="38"/>
        <v>126.11</v>
      </c>
      <c r="J123" s="196">
        <f t="shared" si="38"/>
        <v>0</v>
      </c>
      <c r="K123" s="196">
        <f t="shared" si="38"/>
        <v>126.11</v>
      </c>
    </row>
    <row r="124" spans="1:82">
      <c r="A124" s="168" t="s">
        <v>216</v>
      </c>
      <c r="B124" s="164" t="s">
        <v>186</v>
      </c>
      <c r="C124" s="195">
        <f>прил.6!E8</f>
        <v>395528</v>
      </c>
      <c r="D124" s="195"/>
      <c r="E124" s="195"/>
      <c r="F124" s="199"/>
      <c r="G124" s="199">
        <f>прил.6!E8</f>
        <v>395528</v>
      </c>
      <c r="H124" s="196">
        <f t="shared" si="38"/>
        <v>415.91</v>
      </c>
      <c r="I124" s="196">
        <f t="shared" si="38"/>
        <v>415.91</v>
      </c>
      <c r="J124" s="196">
        <f t="shared" si="38"/>
        <v>0</v>
      </c>
      <c r="K124" s="196">
        <f t="shared" si="38"/>
        <v>415.91</v>
      </c>
    </row>
    <row r="125" spans="1:82" hidden="1">
      <c r="A125" s="168" t="s">
        <v>217</v>
      </c>
      <c r="B125" s="164" t="s">
        <v>186</v>
      </c>
      <c r="C125" s="195">
        <f>прил.6!E10</f>
        <v>0</v>
      </c>
      <c r="D125" s="195"/>
      <c r="E125" s="195"/>
      <c r="F125" s="199"/>
      <c r="G125" s="199">
        <f>прил.6!E10</f>
        <v>0</v>
      </c>
      <c r="H125" s="196">
        <f t="shared" si="38"/>
        <v>0</v>
      </c>
      <c r="I125" s="196">
        <f t="shared" si="38"/>
        <v>0</v>
      </c>
      <c r="J125" s="196">
        <f t="shared" si="38"/>
        <v>0</v>
      </c>
      <c r="K125" s="196">
        <f t="shared" si="38"/>
        <v>0</v>
      </c>
    </row>
    <row r="126" spans="1:82" hidden="1">
      <c r="A126" s="168" t="s">
        <v>218</v>
      </c>
      <c r="B126" s="164" t="s">
        <v>186</v>
      </c>
      <c r="C126" s="195">
        <f>прил.6!E11</f>
        <v>0</v>
      </c>
      <c r="D126" s="195"/>
      <c r="E126" s="195"/>
      <c r="F126" s="199"/>
      <c r="G126" s="199">
        <f>прил.6!E11</f>
        <v>0</v>
      </c>
      <c r="H126" s="196">
        <f t="shared" si="38"/>
        <v>0</v>
      </c>
      <c r="I126" s="196">
        <f t="shared" si="38"/>
        <v>0</v>
      </c>
      <c r="J126" s="196">
        <f t="shared" si="38"/>
        <v>0</v>
      </c>
      <c r="K126" s="196">
        <f t="shared" si="38"/>
        <v>0</v>
      </c>
    </row>
    <row r="127" spans="1:82" hidden="1">
      <c r="A127" s="168" t="s">
        <v>219</v>
      </c>
      <c r="B127" s="164" t="s">
        <v>186</v>
      </c>
      <c r="C127" s="195">
        <f>прил.6!E12</f>
        <v>800</v>
      </c>
      <c r="D127" s="195"/>
      <c r="E127" s="195"/>
      <c r="F127" s="199"/>
      <c r="G127" s="199">
        <f>прил.6!E12</f>
        <v>800</v>
      </c>
      <c r="H127" s="196">
        <f t="shared" si="38"/>
        <v>0.84</v>
      </c>
      <c r="I127" s="196">
        <f t="shared" si="38"/>
        <v>0.84</v>
      </c>
      <c r="J127" s="196">
        <f t="shared" si="38"/>
        <v>0</v>
      </c>
      <c r="K127" s="196">
        <f t="shared" si="38"/>
        <v>0.84</v>
      </c>
    </row>
    <row r="128" spans="1:82">
      <c r="A128" s="159"/>
      <c r="B128" s="164" t="s">
        <v>186</v>
      </c>
      <c r="C128" s="195">
        <f>прил.6!G20+прил.6!G21+прил.6!G22</f>
        <v>100384.18</v>
      </c>
      <c r="D128" s="195"/>
      <c r="E128" s="195"/>
      <c r="F128" s="196"/>
      <c r="G128" s="196">
        <f>прил.6!G20+прил.6!G21+прил.6!G22</f>
        <v>100384.18</v>
      </c>
      <c r="H128" s="196">
        <f t="shared" si="38"/>
        <v>105.56</v>
      </c>
      <c r="I128" s="196">
        <f t="shared" si="38"/>
        <v>105.56</v>
      </c>
      <c r="J128" s="196">
        <f t="shared" si="38"/>
        <v>0</v>
      </c>
      <c r="K128" s="196">
        <f t="shared" si="38"/>
        <v>105.56</v>
      </c>
    </row>
    <row r="129" spans="1:11">
      <c r="A129" s="159"/>
      <c r="B129" s="164" t="s">
        <v>186</v>
      </c>
      <c r="C129" s="195">
        <f>прил.6!G23+прил.6!G24+прил.6!G27</f>
        <v>0</v>
      </c>
      <c r="D129" s="195"/>
      <c r="E129" s="195"/>
      <c r="F129" s="196"/>
      <c r="G129" s="196">
        <f>прил.6!G23+прил.6!G24+прил.6!G27</f>
        <v>0</v>
      </c>
      <c r="H129" s="196">
        <f t="shared" si="38"/>
        <v>0</v>
      </c>
      <c r="I129" s="196">
        <f t="shared" si="38"/>
        <v>0</v>
      </c>
      <c r="J129" s="196">
        <f t="shared" si="38"/>
        <v>0</v>
      </c>
      <c r="K129" s="196">
        <f t="shared" si="38"/>
        <v>0</v>
      </c>
    </row>
    <row r="130" spans="1:11" hidden="1">
      <c r="A130" s="168"/>
      <c r="B130" s="164"/>
      <c r="C130" s="195"/>
      <c r="D130" s="195"/>
      <c r="E130" s="195"/>
      <c r="F130" s="196"/>
      <c r="G130" s="196"/>
      <c r="H130" s="196">
        <f t="shared" si="38"/>
        <v>0</v>
      </c>
      <c r="I130" s="196">
        <f t="shared" si="38"/>
        <v>0</v>
      </c>
      <c r="J130" s="196">
        <f t="shared" si="38"/>
        <v>0</v>
      </c>
      <c r="K130" s="196">
        <f t="shared" si="38"/>
        <v>0</v>
      </c>
    </row>
    <row r="131" spans="1:11">
      <c r="A131" s="189" t="s">
        <v>203</v>
      </c>
      <c r="B131" s="190"/>
      <c r="C131" s="197">
        <f>SUM(C123:C129)</f>
        <v>616638.17999999993</v>
      </c>
      <c r="D131" s="197">
        <f>SUM(D123:D129)</f>
        <v>0</v>
      </c>
      <c r="E131" s="197">
        <f t="shared" ref="E131:K131" si="39">SUM(E123:E129)</f>
        <v>0</v>
      </c>
      <c r="F131" s="197">
        <f t="shared" si="39"/>
        <v>0</v>
      </c>
      <c r="G131" s="197">
        <f t="shared" si="39"/>
        <v>616638.17999999993</v>
      </c>
      <c r="H131" s="197">
        <f t="shared" si="39"/>
        <v>648.42000000000007</v>
      </c>
      <c r="I131" s="197">
        <f t="shared" si="39"/>
        <v>648.42000000000007</v>
      </c>
      <c r="J131" s="197">
        <f t="shared" si="39"/>
        <v>0</v>
      </c>
      <c r="K131" s="197">
        <f t="shared" si="39"/>
        <v>648.42000000000007</v>
      </c>
    </row>
    <row r="132" spans="1:11" ht="18.75">
      <c r="A132" s="192" t="s">
        <v>220</v>
      </c>
      <c r="B132" s="191"/>
      <c r="C132" s="204">
        <f>C14+C121+C131</f>
        <v>69550376.000000015</v>
      </c>
      <c r="D132" s="204">
        <f t="shared" ref="D132:E132" si="40">D14+D121+D131</f>
        <v>56350983</v>
      </c>
      <c r="E132" s="204">
        <f t="shared" si="40"/>
        <v>59254.46</v>
      </c>
      <c r="F132" s="204">
        <f>F14+F121+F131+0.01</f>
        <v>59254.46</v>
      </c>
      <c r="G132" s="204">
        <f>G14+G121+G131</f>
        <v>13199393</v>
      </c>
      <c r="H132" s="204">
        <f>H14+H121+H131-0.02</f>
        <v>13879.48</v>
      </c>
      <c r="I132" s="204">
        <f>I14+I121+I131-0.02</f>
        <v>13879.48</v>
      </c>
      <c r="J132" s="204">
        <f>J14+J121+J131</f>
        <v>0</v>
      </c>
      <c r="K132" s="204">
        <f>K14+K121+K131-0.02</f>
        <v>13879.48</v>
      </c>
    </row>
    <row r="133" spans="1:11" hidden="1">
      <c r="A133" s="169"/>
      <c r="B133" s="169"/>
      <c r="C133" s="170"/>
      <c r="D133" s="170"/>
      <c r="E133" s="169"/>
      <c r="F133" s="163"/>
      <c r="G133" s="163"/>
      <c r="H133" s="163"/>
      <c r="I133" s="163"/>
      <c r="J133" s="163"/>
      <c r="K133" s="163"/>
    </row>
    <row r="134" spans="1:11">
      <c r="A134" s="169"/>
      <c r="B134" s="169"/>
      <c r="C134" s="169"/>
      <c r="D134" s="169"/>
      <c r="E134" s="169"/>
      <c r="F134" s="163"/>
      <c r="G134" s="163"/>
      <c r="H134" s="163"/>
      <c r="I134" s="163"/>
      <c r="J134" s="163"/>
      <c r="K134" s="163"/>
    </row>
    <row r="135" spans="1:11">
      <c r="A135" s="171" t="s">
        <v>275</v>
      </c>
      <c r="B135" s="172"/>
      <c r="C135" s="172"/>
      <c r="D135" s="169"/>
      <c r="E135" s="91" t="s">
        <v>393</v>
      </c>
      <c r="F135" s="163"/>
      <c r="G135" s="163"/>
      <c r="H135" s="163"/>
      <c r="I135" s="163"/>
      <c r="J135" s="163"/>
      <c r="K135" s="163"/>
    </row>
    <row r="136" spans="1:11" hidden="1">
      <c r="A136" s="169"/>
      <c r="B136" s="206"/>
      <c r="C136" s="169"/>
      <c r="D136" s="169"/>
      <c r="F136" s="163"/>
      <c r="G136" s="163"/>
      <c r="H136" s="163"/>
      <c r="I136" s="163"/>
      <c r="J136" s="163"/>
      <c r="K136" s="163"/>
    </row>
    <row r="137" spans="1:11">
      <c r="A137" s="169"/>
      <c r="B137" s="206"/>
      <c r="C137" s="169"/>
      <c r="D137" s="169"/>
      <c r="F137" s="163"/>
      <c r="G137" s="163"/>
      <c r="H137" s="163"/>
      <c r="I137" s="163"/>
      <c r="J137" s="163"/>
      <c r="K137" s="163"/>
    </row>
    <row r="138" spans="1:11">
      <c r="A138" s="173" t="s">
        <v>239</v>
      </c>
      <c r="B138" s="172"/>
      <c r="C138" s="172"/>
      <c r="D138" s="169"/>
      <c r="E138" s="84" t="s">
        <v>394</v>
      </c>
      <c r="F138" s="163"/>
      <c r="G138" s="163"/>
      <c r="H138" s="163"/>
      <c r="I138" s="163"/>
      <c r="J138" s="163"/>
      <c r="K138" s="163"/>
    </row>
    <row r="139" spans="1:11">
      <c r="A139" s="135"/>
      <c r="B139" s="135"/>
      <c r="C139" s="135"/>
      <c r="D139" s="135"/>
      <c r="E139" s="135"/>
    </row>
    <row r="140" spans="1:11">
      <c r="C140" s="47">
        <f>'проверка 2019'!B13</f>
        <v>69550376</v>
      </c>
      <c r="D140" s="47">
        <f>'проверка 2019'!B14</f>
        <v>56350983</v>
      </c>
      <c r="E140" s="47">
        <f>'проверка 2019'!I19</f>
        <v>59254.459999999992</v>
      </c>
      <c r="F140" s="276">
        <f>'проверка 2019'!J19</f>
        <v>59254.459999999992</v>
      </c>
      <c r="G140" s="276">
        <f>'проверка 2019'!B24</f>
        <v>13199393</v>
      </c>
      <c r="H140" s="276">
        <f>'проверка 2019'!H36</f>
        <v>13879.48</v>
      </c>
      <c r="I140" s="276">
        <f>'проверка 2019'!I36</f>
        <v>13879.48</v>
      </c>
      <c r="J140" s="276">
        <f>'проверка 2019'!J36</f>
        <v>0</v>
      </c>
      <c r="K140" s="276">
        <f>'проверка 2019'!K36</f>
        <v>13879.48</v>
      </c>
    </row>
    <row r="141" spans="1:11">
      <c r="C141" s="47">
        <f>C132-C140</f>
        <v>0</v>
      </c>
      <c r="D141" s="47">
        <f t="shared" ref="D141:K141" si="41">D132-D140</f>
        <v>0</v>
      </c>
      <c r="E141" s="47">
        <f t="shared" si="41"/>
        <v>0</v>
      </c>
      <c r="F141" s="47">
        <f t="shared" si="41"/>
        <v>0</v>
      </c>
      <c r="G141" s="47">
        <f t="shared" si="41"/>
        <v>0</v>
      </c>
      <c r="H141" s="47">
        <f>H132-H140</f>
        <v>0</v>
      </c>
      <c r="I141" s="47">
        <f t="shared" si="41"/>
        <v>0</v>
      </c>
      <c r="J141" s="47">
        <f t="shared" si="41"/>
        <v>0</v>
      </c>
      <c r="K141" s="47">
        <f t="shared" si="41"/>
        <v>0</v>
      </c>
    </row>
    <row r="144" spans="1:11" ht="71.25" customHeight="1">
      <c r="A144" s="366" t="s">
        <v>323</v>
      </c>
    </row>
  </sheetData>
  <mergeCells count="21">
    <mergeCell ref="A28:K28"/>
    <mergeCell ref="A8:K8"/>
    <mergeCell ref="A2:C2"/>
    <mergeCell ref="A106:K106"/>
    <mergeCell ref="A1:K1"/>
    <mergeCell ref="A100:K100"/>
    <mergeCell ref="A15:K15"/>
    <mergeCell ref="A21:K21"/>
    <mergeCell ref="A27:K27"/>
    <mergeCell ref="A3:C3"/>
    <mergeCell ref="A4:K4"/>
    <mergeCell ref="D2:K2"/>
    <mergeCell ref="A80:K80"/>
    <mergeCell ref="A96:K96"/>
    <mergeCell ref="A122:K122"/>
    <mergeCell ref="A33:K33"/>
    <mergeCell ref="A37:K37"/>
    <mergeCell ref="A43:K43"/>
    <mergeCell ref="A74:K74"/>
    <mergeCell ref="A113:K113"/>
    <mergeCell ref="A109:K109"/>
  </mergeCells>
  <pageMargins left="0.35433070866141736" right="0" top="0.19685039370078741" bottom="0" header="0.31496062992125984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41"/>
  <sheetViews>
    <sheetView view="pageBreakPreview" topLeftCell="A10" zoomScaleSheetLayoutView="100" workbookViewId="0">
      <selection activeCell="G45" sqref="G45"/>
    </sheetView>
  </sheetViews>
  <sheetFormatPr defaultColWidth="9.140625" defaultRowHeight="12.75"/>
  <cols>
    <col min="1" max="1" width="12.140625" style="35" customWidth="1"/>
    <col min="2" max="2" width="15.5703125" style="35" customWidth="1"/>
    <col min="3" max="3" width="18.140625" style="35" customWidth="1"/>
    <col min="4" max="4" width="15.140625" style="35" customWidth="1"/>
    <col min="5" max="6" width="0" style="35" hidden="1" customWidth="1"/>
    <col min="7" max="7" width="12.42578125" style="35" customWidth="1"/>
    <col min="8" max="8" width="13.5703125" style="35" customWidth="1"/>
    <col min="9" max="9" width="13.85546875" style="35" customWidth="1"/>
    <col min="10" max="10" width="13.7109375" style="35" customWidth="1"/>
    <col min="11" max="11" width="14.5703125" style="35" customWidth="1"/>
    <col min="12" max="15" width="14.7109375" style="35" customWidth="1"/>
    <col min="16" max="16" width="15.140625" style="35" customWidth="1"/>
    <col min="17" max="16384" width="9.140625" style="35"/>
  </cols>
  <sheetData>
    <row r="2" spans="1:16" ht="18">
      <c r="A2" s="500" t="s">
        <v>91</v>
      </c>
      <c r="B2" s="500"/>
      <c r="C2" s="500"/>
      <c r="D2" s="500"/>
    </row>
    <row r="3" spans="1:16">
      <c r="H3" s="35" t="s">
        <v>97</v>
      </c>
    </row>
    <row r="4" spans="1:16">
      <c r="G4" s="35" t="s">
        <v>94</v>
      </c>
      <c r="H4" s="35">
        <v>57928.18</v>
      </c>
    </row>
    <row r="5" spans="1:16">
      <c r="G5" s="35" t="s">
        <v>96</v>
      </c>
      <c r="H5" s="35">
        <v>7555.49</v>
      </c>
      <c r="L5" s="35" t="s">
        <v>139</v>
      </c>
    </row>
    <row r="6" spans="1:16" ht="38.25">
      <c r="G6" s="46" t="s">
        <v>98</v>
      </c>
      <c r="H6" s="35">
        <v>37.35</v>
      </c>
    </row>
    <row r="8" spans="1:16" ht="29.25" customHeight="1">
      <c r="G8" s="501" t="s">
        <v>101</v>
      </c>
      <c r="H8" s="501"/>
      <c r="I8" s="501"/>
      <c r="J8" s="501"/>
      <c r="K8" s="501"/>
    </row>
    <row r="9" spans="1:16">
      <c r="G9" s="48"/>
      <c r="H9" s="48"/>
      <c r="K9" s="48"/>
    </row>
    <row r="10" spans="1:16">
      <c r="G10" s="48"/>
      <c r="H10" s="48"/>
      <c r="I10" s="502" t="s">
        <v>102</v>
      </c>
      <c r="J10" s="503"/>
      <c r="K10" s="48"/>
      <c r="L10" s="502" t="s">
        <v>292</v>
      </c>
      <c r="M10" s="503"/>
      <c r="N10" s="502" t="s">
        <v>293</v>
      </c>
      <c r="O10" s="503"/>
    </row>
    <row r="11" spans="1:16">
      <c r="H11" s="45"/>
      <c r="I11" s="36" t="s">
        <v>97</v>
      </c>
      <c r="J11" s="36" t="s">
        <v>99</v>
      </c>
      <c r="L11" s="36" t="s">
        <v>97</v>
      </c>
      <c r="M11" s="36" t="s">
        <v>99</v>
      </c>
      <c r="N11" s="36" t="s">
        <v>97</v>
      </c>
      <c r="O11" s="36" t="s">
        <v>99</v>
      </c>
    </row>
    <row r="12" spans="1:16">
      <c r="A12" s="36" t="s">
        <v>92</v>
      </c>
      <c r="B12" s="36" t="s">
        <v>93</v>
      </c>
      <c r="C12" s="36" t="s">
        <v>94</v>
      </c>
      <c r="D12" s="36" t="s">
        <v>95</v>
      </c>
      <c r="G12" s="35" t="s">
        <v>294</v>
      </c>
      <c r="I12" s="51">
        <f>ROUND((L12*8+N12*4)/12,0)</f>
        <v>115</v>
      </c>
      <c r="J12" s="51">
        <f>ROUND((M12*8+O12*4)/12,0)</f>
        <v>836</v>
      </c>
      <c r="L12" s="282">
        <v>115</v>
      </c>
      <c r="M12" s="282">
        <v>836</v>
      </c>
      <c r="N12" s="282">
        <v>115</v>
      </c>
      <c r="O12" s="282">
        <v>836</v>
      </c>
    </row>
    <row r="13" spans="1:16" ht="26.25" customHeight="1">
      <c r="A13" s="37"/>
      <c r="B13" s="38">
        <f>B14+B24</f>
        <v>69550376</v>
      </c>
      <c r="C13" s="38">
        <f>C14+C24</f>
        <v>69550376</v>
      </c>
      <c r="D13" s="38">
        <f>D14+D24</f>
        <v>0</v>
      </c>
      <c r="G13" s="35" t="s">
        <v>97</v>
      </c>
      <c r="H13" s="35" t="s">
        <v>99</v>
      </c>
      <c r="M13" s="499" t="s">
        <v>97</v>
      </c>
      <c r="N13" s="499"/>
      <c r="O13" s="499" t="s">
        <v>99</v>
      </c>
      <c r="P13" s="499"/>
    </row>
    <row r="14" spans="1:16" s="40" customFormat="1" ht="14.1" customHeight="1">
      <c r="A14" s="40" t="s">
        <v>104</v>
      </c>
      <c r="B14" s="38">
        <f>SUM(B15:B20)</f>
        <v>56350983</v>
      </c>
      <c r="C14" s="38">
        <f>SUM(C15:C20)</f>
        <v>56350983</v>
      </c>
      <c r="D14" s="38">
        <f>SUM(D15:D18)</f>
        <v>0</v>
      </c>
      <c r="E14" s="39"/>
      <c r="F14" s="39"/>
      <c r="G14" s="39"/>
      <c r="H14" s="39"/>
      <c r="M14" s="84" t="s">
        <v>272</v>
      </c>
      <c r="N14" s="84" t="s">
        <v>273</v>
      </c>
      <c r="O14" s="84" t="s">
        <v>272</v>
      </c>
      <c r="P14" s="84" t="s">
        <v>273</v>
      </c>
    </row>
    <row r="15" spans="1:16" ht="14.1" customHeight="1">
      <c r="A15" s="36">
        <v>211</v>
      </c>
      <c r="B15" s="52">
        <v>43021088</v>
      </c>
      <c r="C15" s="41">
        <f>'свод '!C9+'свод '!C34</f>
        <v>43021088</v>
      </c>
      <c r="D15" s="41">
        <f t="shared" ref="D15:D30" si="0">B15-C15</f>
        <v>0</v>
      </c>
      <c r="G15" s="44">
        <f>ROUND(I15*$I$12,2)</f>
        <v>5202340.0999999996</v>
      </c>
      <c r="H15" s="47">
        <f>B15-G15</f>
        <v>37818747.899999999</v>
      </c>
      <c r="I15" s="44">
        <f>IF(($I$12+$J$12)=0,0,ROUND(B15/($I$12+$J$12),2))</f>
        <v>45237.74</v>
      </c>
      <c r="J15" s="44">
        <f>IF(($I$12+$J$12)=0,0,ROUND(B15/($I$12+$J$12),2))</f>
        <v>45237.74</v>
      </c>
      <c r="M15" s="44">
        <f>ROUND('прил.1+2'!G11/(I12+J12)*I12,2)</f>
        <v>2455232.4900000002</v>
      </c>
      <c r="N15" s="44">
        <f>G15-M15</f>
        <v>2747107.6099999994</v>
      </c>
      <c r="O15" s="44">
        <f>ROUND('прил.1+2'!G11/(I12+J12)*J12,2)</f>
        <v>17848472.739999998</v>
      </c>
      <c r="P15" s="44">
        <f>H15-O15</f>
        <v>19970275.16</v>
      </c>
    </row>
    <row r="16" spans="1:16" ht="14.1" customHeight="1">
      <c r="A16" s="36">
        <v>213</v>
      </c>
      <c r="B16" s="52">
        <v>12992368</v>
      </c>
      <c r="C16" s="41">
        <f>'свод '!C10+'свод '!C35-C19-C20</f>
        <v>12992368</v>
      </c>
      <c r="D16" s="41">
        <f t="shared" si="0"/>
        <v>0</v>
      </c>
      <c r="G16" s="44">
        <f t="shared" ref="G16:G18" si="1">ROUND(I16*$I$12,2)</f>
        <v>1571107</v>
      </c>
      <c r="H16" s="47">
        <f>(B16+B20+B19)-G16</f>
        <v>11421261</v>
      </c>
      <c r="I16" s="44">
        <f>IF(($I$12+$J$12)=0,0,ROUND((B16+B19+B20)/($I$12+$J$12),2))</f>
        <v>13661.8</v>
      </c>
      <c r="J16" s="44">
        <f>IF(($I$12+$J$12)=0,0,ROUND((B16+B19+B20)/($I$12+$J$12),2))</f>
        <v>13661.8</v>
      </c>
      <c r="M16" s="35">
        <f>ROUND(M15*0.302,2)</f>
        <v>741480.21</v>
      </c>
      <c r="N16" s="44">
        <f>G16-M16</f>
        <v>829626.79</v>
      </c>
      <c r="O16" s="35">
        <f>ROUND(O15*0.302,2)</f>
        <v>5390238.7699999996</v>
      </c>
      <c r="P16" s="44">
        <f>H16-O16</f>
        <v>6031022.2300000004</v>
      </c>
    </row>
    <row r="17" spans="1:16" ht="14.1" customHeight="1">
      <c r="A17" s="36">
        <v>226</v>
      </c>
      <c r="B17" s="52">
        <v>35109</v>
      </c>
      <c r="C17" s="41">
        <f>'свод '!C12</f>
        <v>35109</v>
      </c>
      <c r="D17" s="41">
        <f t="shared" si="0"/>
        <v>0</v>
      </c>
      <c r="G17" s="44">
        <f t="shared" si="1"/>
        <v>4245.8</v>
      </c>
      <c r="H17" s="47">
        <f t="shared" ref="H17:H18" si="2">B17-G17</f>
        <v>30863.200000000001</v>
      </c>
      <c r="I17" s="44">
        <f>IF(($I$12+$J$12)=0,0,ROUND(B17/($I$12+$J$12),2))</f>
        <v>36.92</v>
      </c>
      <c r="J17" s="44">
        <f>IF(($I$12+$J$12)=0,0,ROUND(B17/($I$12+$J$12),2))</f>
        <v>36.92</v>
      </c>
    </row>
    <row r="18" spans="1:16" ht="14.1" customHeight="1">
      <c r="A18" s="36">
        <v>346</v>
      </c>
      <c r="B18" s="52">
        <v>302418</v>
      </c>
      <c r="C18" s="41">
        <f>'свод '!C11</f>
        <v>302418</v>
      </c>
      <c r="D18" s="41">
        <f t="shared" si="0"/>
        <v>0</v>
      </c>
      <c r="G18" s="44">
        <f t="shared" si="1"/>
        <v>36570</v>
      </c>
      <c r="H18" s="47">
        <f t="shared" si="2"/>
        <v>265848</v>
      </c>
      <c r="I18" s="44">
        <f>IF(($I$12+$J$12)=0,0,ROUND(B18/($I$12+$J$12),2))</f>
        <v>318</v>
      </c>
      <c r="J18" s="44">
        <f>IF(($I$12+$J$12)=0,0,ROUND(B18/($I$12+$J$12),2))</f>
        <v>318</v>
      </c>
    </row>
    <row r="19" spans="1:16" ht="14.1" customHeight="1">
      <c r="A19" s="36" t="s">
        <v>302</v>
      </c>
      <c r="B19" s="52"/>
      <c r="C19" s="41">
        <f>'прил.1+2'!E21+'прил.1+2'!E66</f>
        <v>0</v>
      </c>
      <c r="D19" s="41">
        <f t="shared" si="0"/>
        <v>0</v>
      </c>
      <c r="G19" s="35" t="s">
        <v>100</v>
      </c>
      <c r="I19" s="44">
        <f>SUM(I15:I18)</f>
        <v>59254.459999999992</v>
      </c>
      <c r="J19" s="44">
        <f>SUM(J15:J18)</f>
        <v>59254.459999999992</v>
      </c>
    </row>
    <row r="20" spans="1:16" ht="14.1" customHeight="1">
      <c r="A20" s="36" t="s">
        <v>303</v>
      </c>
      <c r="B20" s="52"/>
      <c r="C20" s="41">
        <f>'прил.1+2'!E22+'прил.1+2'!E67</f>
        <v>0</v>
      </c>
      <c r="D20" s="41">
        <f t="shared" si="0"/>
        <v>0</v>
      </c>
    </row>
    <row r="21" spans="1:16" ht="14.1" customHeight="1">
      <c r="A21" s="36"/>
      <c r="B21" s="43"/>
      <c r="C21" s="41"/>
      <c r="D21" s="41"/>
      <c r="H21" s="504" t="s">
        <v>90</v>
      </c>
      <c r="I21" s="504"/>
      <c r="J21" s="504"/>
      <c r="K21" s="504"/>
    </row>
    <row r="22" spans="1:16" ht="14.1" customHeight="1">
      <c r="A22" s="36"/>
      <c r="B22" s="43"/>
      <c r="C22" s="41"/>
      <c r="D22" s="41"/>
      <c r="H22" s="502" t="s">
        <v>102</v>
      </c>
      <c r="I22" s="503"/>
      <c r="J22" s="502" t="s">
        <v>103</v>
      </c>
      <c r="K22" s="503"/>
      <c r="M22" s="502" t="s">
        <v>295</v>
      </c>
      <c r="N22" s="503"/>
      <c r="O22" s="502" t="s">
        <v>296</v>
      </c>
      <c r="P22" s="503"/>
    </row>
    <row r="23" spans="1:16" ht="14.1" customHeight="1">
      <c r="A23" s="36"/>
      <c r="B23" s="42"/>
      <c r="C23" s="41"/>
      <c r="D23" s="41"/>
      <c r="H23" s="36" t="s">
        <v>97</v>
      </c>
      <c r="I23" s="36" t="s">
        <v>99</v>
      </c>
      <c r="J23" s="36" t="s">
        <v>97</v>
      </c>
      <c r="K23" s="36" t="s">
        <v>99</v>
      </c>
      <c r="M23" s="36" t="s">
        <v>97</v>
      </c>
      <c r="N23" s="36" t="s">
        <v>99</v>
      </c>
      <c r="O23" s="36" t="s">
        <v>97</v>
      </c>
      <c r="P23" s="36" t="s">
        <v>99</v>
      </c>
    </row>
    <row r="24" spans="1:16" ht="14.1" customHeight="1">
      <c r="A24" s="37" t="s">
        <v>105</v>
      </c>
      <c r="B24" s="50">
        <f>SUM(B25:B35)</f>
        <v>13199393</v>
      </c>
      <c r="C24" s="50">
        <f>SUM(C25:C35)</f>
        <v>13199393</v>
      </c>
      <c r="D24" s="50">
        <f>SUM(D25:D33)</f>
        <v>0</v>
      </c>
      <c r="H24" s="51">
        <f>I12-J24</f>
        <v>115</v>
      </c>
      <c r="I24" s="51">
        <f>J12-K24</f>
        <v>828</v>
      </c>
      <c r="J24" s="51">
        <f>ROUND((M24*8+O24*4)/12,0)</f>
        <v>0</v>
      </c>
      <c r="K24" s="51">
        <f>ROUND((N24*8+P24*4)/12,0)</f>
        <v>8</v>
      </c>
      <c r="M24" s="282">
        <v>0</v>
      </c>
      <c r="N24" s="282">
        <v>8</v>
      </c>
      <c r="O24" s="282">
        <v>0</v>
      </c>
      <c r="P24" s="282">
        <v>8</v>
      </c>
    </row>
    <row r="25" spans="1:16" ht="14.1" customHeight="1">
      <c r="A25" s="36" t="s">
        <v>320</v>
      </c>
      <c r="B25" s="53">
        <f>5590194+32390+615410</f>
        <v>6237994</v>
      </c>
      <c r="C25" s="41">
        <f>'свод '!C38</f>
        <v>6237994</v>
      </c>
      <c r="D25" s="41">
        <f>B25-C25</f>
        <v>0</v>
      </c>
      <c r="H25" s="35">
        <f>IF(H$24&lt;=0,0,ROUND($B25/($H$24+$I$24+$J$24+$K$24),2))</f>
        <v>6559.4</v>
      </c>
      <c r="I25" s="35">
        <f>IF(I$24&lt;=0,0,ROUND($B25/($H$24+$I$24+$J$24+$K$24),2))</f>
        <v>6559.4</v>
      </c>
      <c r="J25" s="35">
        <f>IF(J$24&lt;=0,0,ROUND($B25/($H$24+$I$24+$J$24+$K$24),2))</f>
        <v>0</v>
      </c>
      <c r="K25" s="35">
        <f>IF(K$24&lt;=0,0,ROUND($B25/($H$24+$I$24+$J$24+$K$24),2))</f>
        <v>6559.4</v>
      </c>
    </row>
    <row r="26" spans="1:16" ht="14.1" customHeight="1">
      <c r="A26" s="36">
        <v>266</v>
      </c>
      <c r="B26" s="53">
        <v>3000</v>
      </c>
      <c r="C26" s="41">
        <f>'свод '!C31+'свод '!C13</f>
        <v>3000</v>
      </c>
      <c r="D26" s="41">
        <f>B26-C26</f>
        <v>0</v>
      </c>
      <c r="H26" s="35">
        <f>IF(H$24&lt;=0,0,ROUND($B26/($H$24+$I$24+$J$24+$K$24),2))</f>
        <v>3.15</v>
      </c>
      <c r="I26" s="35">
        <f t="shared" ref="I26:K35" si="3">IF(I$24&lt;=0,0,ROUND($B26/($H$24+$I$24+$J$24+$K$24),2))</f>
        <v>3.15</v>
      </c>
      <c r="J26" s="35">
        <f t="shared" si="3"/>
        <v>0</v>
      </c>
      <c r="K26" s="35">
        <f t="shared" si="3"/>
        <v>3.15</v>
      </c>
    </row>
    <row r="27" spans="1:16" ht="14.1" customHeight="1">
      <c r="A27" s="36" t="s">
        <v>321</v>
      </c>
      <c r="B27" s="53">
        <f>1688238+9782+185854</f>
        <v>1883874</v>
      </c>
      <c r="C27" s="41">
        <f>'свод '!C39-C34-C35</f>
        <v>1883874</v>
      </c>
      <c r="D27" s="41">
        <f>B27-C27</f>
        <v>0</v>
      </c>
      <c r="H27" s="35">
        <f>IF(H$24&lt;=0,0,ROUND(($B27+$B34+$B35)/($H$24+$I$24+$J$24+$K$24),2))</f>
        <v>1980.94</v>
      </c>
      <c r="I27" s="35">
        <f t="shared" ref="I27:K27" si="4">IF(I$24&lt;=0,0,ROUND(($B27+$B34+$B35)/($H$24+$I$24+$J$24+$K$24),2))</f>
        <v>1980.94</v>
      </c>
      <c r="J27" s="35">
        <f t="shared" si="4"/>
        <v>0</v>
      </c>
      <c r="K27" s="35">
        <f t="shared" si="4"/>
        <v>1980.94</v>
      </c>
    </row>
    <row r="28" spans="1:16" ht="14.1" customHeight="1">
      <c r="A28" s="36">
        <v>221</v>
      </c>
      <c r="B28" s="53">
        <v>66569</v>
      </c>
      <c r="C28" s="41">
        <f>'свод '!C75</f>
        <v>66569</v>
      </c>
      <c r="D28" s="41">
        <f t="shared" si="0"/>
        <v>0</v>
      </c>
      <c r="H28" s="35">
        <f t="shared" ref="H28:H35" si="5">IF(H$24&lt;=0,0,ROUND($B28/($H$24+$I$24+$J$24+$K$24),2))</f>
        <v>70</v>
      </c>
      <c r="I28" s="35">
        <f t="shared" si="3"/>
        <v>70</v>
      </c>
      <c r="J28" s="35">
        <f t="shared" si="3"/>
        <v>0</v>
      </c>
      <c r="K28" s="35">
        <f t="shared" si="3"/>
        <v>70</v>
      </c>
    </row>
    <row r="29" spans="1:16" ht="14.1" customHeight="1">
      <c r="A29" s="36">
        <v>223</v>
      </c>
      <c r="B29" s="52">
        <v>3400355</v>
      </c>
      <c r="C29" s="303">
        <f>'свод '!C120+'свод '!C128+'свод '!C129</f>
        <v>3400355.0000000005</v>
      </c>
      <c r="D29" s="41">
        <f t="shared" si="0"/>
        <v>0</v>
      </c>
      <c r="H29" s="35">
        <f t="shared" si="5"/>
        <v>3575.56</v>
      </c>
      <c r="I29" s="35">
        <f t="shared" si="3"/>
        <v>3575.56</v>
      </c>
      <c r="J29" s="35">
        <f t="shared" si="3"/>
        <v>0</v>
      </c>
      <c r="K29" s="35">
        <f t="shared" si="3"/>
        <v>3575.56</v>
      </c>
    </row>
    <row r="30" spans="1:16" ht="14.1" customHeight="1">
      <c r="A30" s="36">
        <v>225</v>
      </c>
      <c r="B30" s="52">
        <v>568917</v>
      </c>
      <c r="C30" s="303">
        <f>'свод '!C44+'свод '!C45+'свод '!C46+'свод '!C47+'свод '!C48+'свод '!C49+'свод '!C50+'свод '!C51+'свод '!C52+'свод '!C54+'свод '!C55+'свод '!C57+'свод '!C58+'свод '!C59+'свод '!C64+'свод '!C67+'свод '!C68+'свод '!C69+'свод '!C70+'свод '!C71+'свод '!C72</f>
        <v>568917</v>
      </c>
      <c r="D30" s="41">
        <f t="shared" si="0"/>
        <v>0</v>
      </c>
      <c r="H30" s="35">
        <f t="shared" si="5"/>
        <v>598.23</v>
      </c>
      <c r="I30" s="35">
        <f t="shared" si="3"/>
        <v>598.23</v>
      </c>
      <c r="J30" s="35">
        <f t="shared" si="3"/>
        <v>0</v>
      </c>
      <c r="K30" s="35">
        <f t="shared" si="3"/>
        <v>598.23</v>
      </c>
    </row>
    <row r="31" spans="1:16" ht="14.1" customHeight="1">
      <c r="A31" s="36">
        <v>226</v>
      </c>
      <c r="B31" s="52">
        <v>301250</v>
      </c>
      <c r="C31" s="303">
        <f>'свод '!C65+'свод '!C66+'свод '!C82+'свод '!C83+'свод '!C84+'свод '!C85+'свод '!C86+'свод '!C87+'свод '!C88+'свод '!C94</f>
        <v>301250</v>
      </c>
      <c r="D31" s="41">
        <f>B31-C31</f>
        <v>0</v>
      </c>
      <c r="H31" s="35">
        <f t="shared" si="5"/>
        <v>316.77</v>
      </c>
      <c r="I31" s="35">
        <f t="shared" si="3"/>
        <v>316.77</v>
      </c>
      <c r="J31" s="35">
        <f t="shared" si="3"/>
        <v>0</v>
      </c>
      <c r="K31" s="35">
        <f t="shared" si="3"/>
        <v>316.77</v>
      </c>
    </row>
    <row r="32" spans="1:16" ht="14.1" customHeight="1">
      <c r="A32" s="36">
        <v>291</v>
      </c>
      <c r="B32" s="52">
        <v>516254</v>
      </c>
      <c r="C32" s="303">
        <f>'свод '!C131-'свод '!C128-'свод '!C129</f>
        <v>516253.99999999994</v>
      </c>
      <c r="D32" s="41">
        <f>B32-C32</f>
        <v>0</v>
      </c>
      <c r="H32" s="35">
        <f t="shared" si="5"/>
        <v>542.85</v>
      </c>
      <c r="I32" s="35">
        <f t="shared" si="3"/>
        <v>542.85</v>
      </c>
      <c r="J32" s="35">
        <f t="shared" si="3"/>
        <v>0</v>
      </c>
      <c r="K32" s="35">
        <f t="shared" si="3"/>
        <v>542.85</v>
      </c>
    </row>
    <row r="33" spans="1:13" ht="14.1" customHeight="1">
      <c r="A33" s="36">
        <v>346</v>
      </c>
      <c r="B33" s="53">
        <v>221180</v>
      </c>
      <c r="C33" s="41">
        <f>'свод '!C81+'свод '!C101+'свод '!C102+'свод '!C103+'свод '!C104</f>
        <v>221180</v>
      </c>
      <c r="D33" s="41">
        <f>B33-C33</f>
        <v>0</v>
      </c>
      <c r="H33" s="35">
        <f t="shared" si="5"/>
        <v>232.58</v>
      </c>
      <c r="I33" s="35">
        <f t="shared" si="3"/>
        <v>232.58</v>
      </c>
      <c r="J33" s="35">
        <f t="shared" si="3"/>
        <v>0</v>
      </c>
      <c r="K33" s="35">
        <f t="shared" si="3"/>
        <v>232.58</v>
      </c>
    </row>
    <row r="34" spans="1:13" ht="25.5">
      <c r="A34" s="118" t="s">
        <v>381</v>
      </c>
      <c r="B34" s="52"/>
      <c r="C34" s="41">
        <f>'прил.1+2'!E84</f>
        <v>0</v>
      </c>
      <c r="D34" s="41">
        <f t="shared" ref="D34:D35" si="6">B34-C34</f>
        <v>0</v>
      </c>
      <c r="H34" s="35">
        <f t="shared" si="5"/>
        <v>0</v>
      </c>
      <c r="I34" s="35">
        <f t="shared" si="3"/>
        <v>0</v>
      </c>
      <c r="J34" s="35">
        <f t="shared" si="3"/>
        <v>0</v>
      </c>
      <c r="K34" s="35">
        <f t="shared" si="3"/>
        <v>0</v>
      </c>
    </row>
    <row r="35" spans="1:13">
      <c r="A35" s="36" t="s">
        <v>303</v>
      </c>
      <c r="B35" s="53"/>
      <c r="C35" s="41">
        <f>'прил.1+2'!E85</f>
        <v>0</v>
      </c>
      <c r="D35" s="41">
        <f t="shared" si="6"/>
        <v>0</v>
      </c>
      <c r="H35" s="35">
        <f t="shared" si="5"/>
        <v>0</v>
      </c>
      <c r="I35" s="35">
        <f t="shared" si="3"/>
        <v>0</v>
      </c>
      <c r="J35" s="35">
        <f t="shared" si="3"/>
        <v>0</v>
      </c>
      <c r="K35" s="35">
        <f t="shared" si="3"/>
        <v>0</v>
      </c>
    </row>
    <row r="36" spans="1:13" ht="25.5">
      <c r="B36" s="44">
        <f>B25+B26+B27+B28+B29+B30+B31+B32+B34+B33</f>
        <v>13199393</v>
      </c>
      <c r="G36" s="49" t="s">
        <v>100</v>
      </c>
      <c r="H36" s="44">
        <f>SUM(H25:H35)</f>
        <v>13879.48</v>
      </c>
      <c r="I36" s="44">
        <f t="shared" ref="I36:K36" si="7">SUM(I25:I35)</f>
        <v>13879.48</v>
      </c>
      <c r="J36" s="44">
        <f t="shared" si="7"/>
        <v>0</v>
      </c>
      <c r="K36" s="44">
        <f t="shared" si="7"/>
        <v>13879.48</v>
      </c>
    </row>
    <row r="38" spans="1:13" ht="51">
      <c r="G38" s="49" t="s">
        <v>379</v>
      </c>
      <c r="H38" s="390">
        <v>15344.94</v>
      </c>
      <c r="I38" s="390">
        <v>15344.94</v>
      </c>
      <c r="J38" s="390">
        <v>0</v>
      </c>
      <c r="K38" s="390">
        <v>15344.94</v>
      </c>
      <c r="L38" s="44"/>
    </row>
    <row r="39" spans="1:13" ht="15">
      <c r="G39" s="35" t="s">
        <v>380</v>
      </c>
      <c r="H39" s="391">
        <v>0.90449999999999997</v>
      </c>
      <c r="I39" s="391">
        <v>0.90449999999999997</v>
      </c>
      <c r="J39" s="391">
        <v>0</v>
      </c>
      <c r="K39" s="391">
        <v>0.90449999999999997</v>
      </c>
    </row>
    <row r="40" spans="1:13">
      <c r="H40" s="44">
        <f>ROUND(H24*H38*H39,2)</f>
        <v>1596142.3</v>
      </c>
      <c r="I40" s="44">
        <f>ROUND(I24*I38*I39,2)</f>
        <v>11492224.529999999</v>
      </c>
      <c r="J40" s="44">
        <f t="shared" ref="J40:K40" si="8">ROUND(J24*J38*J39,2)</f>
        <v>0</v>
      </c>
      <c r="K40" s="44">
        <f t="shared" si="8"/>
        <v>111035.99</v>
      </c>
      <c r="L40" s="44">
        <f>SUM(H40:K40)</f>
        <v>13199402.82</v>
      </c>
    </row>
    <row r="41" spans="1:13">
      <c r="L41" s="392">
        <f>B36-L40</f>
        <v>-9.8200000002980232</v>
      </c>
      <c r="M41" s="393" t="s">
        <v>382</v>
      </c>
    </row>
  </sheetData>
  <mergeCells count="12">
    <mergeCell ref="M13:N13"/>
    <mergeCell ref="O13:P13"/>
    <mergeCell ref="A2:D2"/>
    <mergeCell ref="G8:K8"/>
    <mergeCell ref="H22:I22"/>
    <mergeCell ref="J22:K22"/>
    <mergeCell ref="H21:K21"/>
    <mergeCell ref="I10:J10"/>
    <mergeCell ref="L10:M10"/>
    <mergeCell ref="N10:O10"/>
    <mergeCell ref="M22:N22"/>
    <mergeCell ref="O22:P22"/>
  </mergeCells>
  <pageMargins left="0.7" right="0.7" top="0.75" bottom="0.75" header="0.3" footer="0.3"/>
  <pageSetup paperSize="9" scale="67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P41"/>
  <sheetViews>
    <sheetView topLeftCell="A8" zoomScaleSheetLayoutView="100" workbookViewId="0">
      <selection activeCell="B35" sqref="B35"/>
    </sheetView>
  </sheetViews>
  <sheetFormatPr defaultColWidth="9.140625" defaultRowHeight="12.75"/>
  <cols>
    <col min="1" max="1" width="12.140625" style="35" customWidth="1"/>
    <col min="2" max="2" width="15.5703125" style="35" customWidth="1"/>
    <col min="3" max="3" width="18.140625" style="35" hidden="1" customWidth="1"/>
    <col min="4" max="4" width="15.140625" style="35" hidden="1" customWidth="1"/>
    <col min="5" max="6" width="0" style="35" hidden="1" customWidth="1"/>
    <col min="7" max="7" width="12.42578125" style="35" customWidth="1"/>
    <col min="8" max="8" width="13.5703125" style="35" customWidth="1"/>
    <col min="9" max="9" width="12.7109375" style="35" customWidth="1"/>
    <col min="10" max="10" width="13.7109375" style="35" customWidth="1"/>
    <col min="11" max="11" width="9.140625" style="35"/>
    <col min="12" max="15" width="14.7109375" style="35" customWidth="1"/>
    <col min="16" max="16" width="15.140625" style="35" customWidth="1"/>
    <col min="17" max="16384" width="9.140625" style="35"/>
  </cols>
  <sheetData>
    <row r="2" spans="1:16" ht="18">
      <c r="A2" s="500" t="s">
        <v>91</v>
      </c>
      <c r="B2" s="500"/>
      <c r="C2" s="500"/>
      <c r="D2" s="500"/>
    </row>
    <row r="3" spans="1:16">
      <c r="H3" s="35" t="s">
        <v>97</v>
      </c>
    </row>
    <row r="4" spans="1:16">
      <c r="G4" s="35" t="s">
        <v>94</v>
      </c>
      <c r="H4" s="35">
        <v>57928.18</v>
      </c>
    </row>
    <row r="5" spans="1:16">
      <c r="G5" s="35" t="s">
        <v>96</v>
      </c>
      <c r="H5" s="35">
        <v>7555.49</v>
      </c>
    </row>
    <row r="6" spans="1:16" ht="38.25">
      <c r="G6" s="46" t="s">
        <v>98</v>
      </c>
      <c r="H6" s="35">
        <v>37.35</v>
      </c>
    </row>
    <row r="8" spans="1:16" ht="29.25" customHeight="1">
      <c r="G8" s="501" t="s">
        <v>101</v>
      </c>
      <c r="H8" s="501"/>
      <c r="I8" s="501"/>
      <c r="J8" s="501"/>
      <c r="K8" s="501"/>
    </row>
    <row r="9" spans="1:16">
      <c r="G9" s="295"/>
      <c r="H9" s="295"/>
      <c r="K9" s="295"/>
    </row>
    <row r="10" spans="1:16">
      <c r="G10" s="295"/>
      <c r="H10" s="295"/>
      <c r="I10" s="502" t="s">
        <v>102</v>
      </c>
      <c r="J10" s="503"/>
      <c r="K10" s="295"/>
      <c r="L10" s="502" t="s">
        <v>297</v>
      </c>
      <c r="M10" s="503"/>
      <c r="N10" s="502" t="s">
        <v>298</v>
      </c>
      <c r="O10" s="503"/>
    </row>
    <row r="11" spans="1:16">
      <c r="H11" s="45"/>
      <c r="I11" s="36" t="s">
        <v>97</v>
      </c>
      <c r="J11" s="36" t="s">
        <v>99</v>
      </c>
      <c r="L11" s="36" t="s">
        <v>97</v>
      </c>
      <c r="M11" s="36" t="s">
        <v>99</v>
      </c>
      <c r="N11" s="36" t="s">
        <v>97</v>
      </c>
      <c r="O11" s="36" t="s">
        <v>99</v>
      </c>
    </row>
    <row r="12" spans="1:16">
      <c r="A12" s="36" t="s">
        <v>92</v>
      </c>
      <c r="B12" s="36" t="s">
        <v>93</v>
      </c>
      <c r="C12" s="36" t="s">
        <v>94</v>
      </c>
      <c r="D12" s="36" t="s">
        <v>95</v>
      </c>
      <c r="G12" s="35" t="s">
        <v>299</v>
      </c>
      <c r="I12" s="51">
        <f>ROUND((L12*8+N12*4)/12,0)</f>
        <v>148</v>
      </c>
      <c r="J12" s="51">
        <f>ROUND((M12*8+O12*4)/12,0)</f>
        <v>928</v>
      </c>
      <c r="L12" s="282">
        <v>148</v>
      </c>
      <c r="M12" s="282">
        <v>928</v>
      </c>
      <c r="N12" s="282">
        <v>148</v>
      </c>
      <c r="O12" s="282">
        <v>928</v>
      </c>
    </row>
    <row r="13" spans="1:16" ht="26.25" customHeight="1">
      <c r="A13" s="37"/>
      <c r="B13" s="38">
        <f>B14+B24</f>
        <v>79287708</v>
      </c>
      <c r="C13" s="38">
        <f>C14+C24</f>
        <v>0</v>
      </c>
      <c r="D13" s="38">
        <f>D14+D24</f>
        <v>0</v>
      </c>
      <c r="M13" s="499"/>
      <c r="N13" s="499"/>
      <c r="O13" s="499"/>
      <c r="P13" s="499"/>
    </row>
    <row r="14" spans="1:16" s="40" customFormat="1" ht="14.1" customHeight="1">
      <c r="A14" s="40" t="s">
        <v>104</v>
      </c>
      <c r="B14" s="38">
        <f>SUM(B15:B18)</f>
        <v>65880434</v>
      </c>
      <c r="C14" s="38">
        <f>SUM(C15:C18)</f>
        <v>0</v>
      </c>
      <c r="D14" s="38">
        <f>SUM(D15:D18)</f>
        <v>0</v>
      </c>
      <c r="E14" s="39"/>
      <c r="F14" s="39"/>
      <c r="G14" s="39"/>
      <c r="H14" s="39"/>
      <c r="M14" s="84"/>
      <c r="N14" s="84"/>
      <c r="O14" s="84"/>
      <c r="P14" s="84"/>
    </row>
    <row r="15" spans="1:16" ht="14.1" customHeight="1">
      <c r="A15" s="36">
        <v>211</v>
      </c>
      <c r="B15" s="52">
        <v>50309328</v>
      </c>
      <c r="C15" s="41"/>
      <c r="D15" s="41"/>
      <c r="G15" s="44"/>
      <c r="H15" s="47"/>
      <c r="I15" s="44">
        <f>ROUND(B15/($I$12+$J$12),2)</f>
        <v>46755.88</v>
      </c>
      <c r="J15" s="44">
        <f>ROUND(B15/($I$12+$J$12),2)</f>
        <v>46755.88</v>
      </c>
      <c r="M15" s="44"/>
      <c r="N15" s="44"/>
      <c r="O15" s="44"/>
      <c r="P15" s="44"/>
    </row>
    <row r="16" spans="1:16" ht="14.1" customHeight="1">
      <c r="A16" s="36">
        <v>213</v>
      </c>
      <c r="B16" s="52">
        <v>15193418</v>
      </c>
      <c r="C16" s="41"/>
      <c r="D16" s="41"/>
      <c r="G16" s="44"/>
      <c r="H16" s="47"/>
      <c r="I16" s="44">
        <f t="shared" ref="I16:I18" si="0">ROUND(B16/($I$12+$J$12),2)</f>
        <v>14120.28</v>
      </c>
      <c r="J16" s="44">
        <f t="shared" ref="J16:J18" si="1">ROUND(B16/($I$12+$J$12),2)</f>
        <v>14120.28</v>
      </c>
      <c r="N16" s="44"/>
      <c r="P16" s="44"/>
    </row>
    <row r="17" spans="1:16" ht="14.1" customHeight="1">
      <c r="A17" s="36">
        <v>226</v>
      </c>
      <c r="B17" s="52">
        <v>35520</v>
      </c>
      <c r="C17" s="41"/>
      <c r="D17" s="41"/>
      <c r="G17" s="44"/>
      <c r="H17" s="47"/>
      <c r="I17" s="44">
        <f t="shared" si="0"/>
        <v>33.01</v>
      </c>
      <c r="J17" s="44">
        <f t="shared" si="1"/>
        <v>33.01</v>
      </c>
    </row>
    <row r="18" spans="1:16" ht="14.1" customHeight="1">
      <c r="A18" s="36">
        <v>346</v>
      </c>
      <c r="B18" s="52">
        <v>342168</v>
      </c>
      <c r="C18" s="41"/>
      <c r="D18" s="41"/>
      <c r="G18" s="44"/>
      <c r="H18" s="47"/>
      <c r="I18" s="44">
        <f t="shared" si="0"/>
        <v>318</v>
      </c>
      <c r="J18" s="44">
        <f t="shared" si="1"/>
        <v>318</v>
      </c>
    </row>
    <row r="19" spans="1:16" ht="14.1" customHeight="1">
      <c r="A19" s="36" t="s">
        <v>302</v>
      </c>
      <c r="B19" s="43"/>
      <c r="C19" s="41"/>
      <c r="D19" s="41"/>
      <c r="G19" s="35" t="s">
        <v>100</v>
      </c>
      <c r="I19" s="44">
        <f>SUM(I15:I18)</f>
        <v>61227.17</v>
      </c>
      <c r="J19" s="44">
        <f>SUM(J15:J18)</f>
        <v>61227.17</v>
      </c>
    </row>
    <row r="20" spans="1:16" ht="14.1" customHeight="1">
      <c r="A20" s="36" t="s">
        <v>303</v>
      </c>
      <c r="B20" s="43"/>
      <c r="C20" s="41"/>
      <c r="D20" s="41"/>
    </row>
    <row r="21" spans="1:16" ht="14.1" customHeight="1">
      <c r="A21" s="36"/>
      <c r="B21" s="43"/>
      <c r="C21" s="41"/>
      <c r="D21" s="41"/>
      <c r="H21" s="504" t="s">
        <v>90</v>
      </c>
      <c r="I21" s="504"/>
      <c r="J21" s="504"/>
      <c r="K21" s="504"/>
    </row>
    <row r="22" spans="1:16" ht="14.1" customHeight="1">
      <c r="A22" s="36"/>
      <c r="B22" s="43"/>
      <c r="C22" s="41"/>
      <c r="D22" s="41"/>
      <c r="H22" s="502" t="s">
        <v>102</v>
      </c>
      <c r="I22" s="503"/>
      <c r="J22" s="502" t="s">
        <v>103</v>
      </c>
      <c r="K22" s="503"/>
      <c r="M22" s="502" t="s">
        <v>297</v>
      </c>
      <c r="N22" s="503"/>
      <c r="O22" s="502" t="s">
        <v>298</v>
      </c>
      <c r="P22" s="503"/>
    </row>
    <row r="23" spans="1:16" ht="14.1" customHeight="1">
      <c r="A23" s="36"/>
      <c r="B23" s="42"/>
      <c r="C23" s="41"/>
      <c r="D23" s="41"/>
      <c r="H23" s="36" t="s">
        <v>97</v>
      </c>
      <c r="I23" s="36" t="s">
        <v>99</v>
      </c>
      <c r="J23" s="36" t="s">
        <v>97</v>
      </c>
      <c r="K23" s="36" t="s">
        <v>99</v>
      </c>
      <c r="M23" s="36" t="s">
        <v>97</v>
      </c>
      <c r="N23" s="36" t="s">
        <v>99</v>
      </c>
      <c r="O23" s="36" t="s">
        <v>97</v>
      </c>
      <c r="P23" s="36" t="s">
        <v>99</v>
      </c>
    </row>
    <row r="24" spans="1:16" ht="14.1" customHeight="1">
      <c r="A24" s="37" t="s">
        <v>105</v>
      </c>
      <c r="B24" s="50">
        <f>SUM(B25:B34)</f>
        <v>13407274</v>
      </c>
      <c r="C24" s="50">
        <f>SUM(C25:C34)</f>
        <v>0</v>
      </c>
      <c r="D24" s="50">
        <f>SUM(D25:D34)</f>
        <v>0</v>
      </c>
      <c r="H24" s="51">
        <f>I12-J24</f>
        <v>148</v>
      </c>
      <c r="I24" s="51">
        <f>J12-K24</f>
        <v>920</v>
      </c>
      <c r="J24" s="51">
        <f>ROUND((M24*8+O24*4)/12,0)</f>
        <v>0</v>
      </c>
      <c r="K24" s="51">
        <f>ROUND((N24*8+P24*4)/12,0)</f>
        <v>8</v>
      </c>
      <c r="M24" s="282">
        <v>0</v>
      </c>
      <c r="N24" s="282">
        <v>8</v>
      </c>
      <c r="O24" s="282">
        <v>0</v>
      </c>
      <c r="P24" s="282">
        <v>8</v>
      </c>
    </row>
    <row r="25" spans="1:16" ht="14.1" customHeight="1">
      <c r="A25" s="36" t="s">
        <v>320</v>
      </c>
      <c r="B25" s="53">
        <v>6454321</v>
      </c>
      <c r="C25" s="41"/>
      <c r="D25" s="41"/>
      <c r="H25" s="35">
        <f>IF(H$24&lt;=0,0,ROUND($B25/($H$24+$I$24+$J$24+$K$24),2))</f>
        <v>5998.44</v>
      </c>
      <c r="I25" s="35">
        <f>IF(I$24&lt;=0,0,ROUND($B25/($H$24+$I$24+$J$24+$K$24),2))</f>
        <v>5998.44</v>
      </c>
      <c r="J25" s="35">
        <f>IF(J$24&lt;=0,0,ROUND($B25/($H$24+$I$24+$J$24+$K$24),2))</f>
        <v>0</v>
      </c>
      <c r="K25" s="35">
        <f>IF(K$24&lt;=0,0,ROUND($B25/($H$24+$I$24+$J$24+$K$24),2))</f>
        <v>5998.44</v>
      </c>
    </row>
    <row r="26" spans="1:16" ht="14.1" customHeight="1">
      <c r="A26" s="36">
        <v>266</v>
      </c>
      <c r="B26" s="53">
        <v>3000</v>
      </c>
      <c r="C26" s="41"/>
      <c r="D26" s="41"/>
      <c r="H26" s="35">
        <f t="shared" ref="H26:K35" si="2">IF(H$24&lt;=0,0,ROUND($B26/($H$24+$I$24+$J$24+$K$24),2))</f>
        <v>2.79</v>
      </c>
      <c r="I26" s="35">
        <f t="shared" si="2"/>
        <v>2.79</v>
      </c>
      <c r="J26" s="35">
        <f t="shared" si="2"/>
        <v>0</v>
      </c>
      <c r="K26" s="35">
        <f t="shared" si="2"/>
        <v>2.79</v>
      </c>
    </row>
    <row r="27" spans="1:16" ht="14.1" customHeight="1">
      <c r="A27" s="36" t="s">
        <v>321</v>
      </c>
      <c r="B27" s="53">
        <v>1949205</v>
      </c>
      <c r="C27" s="41"/>
      <c r="D27" s="41"/>
      <c r="H27" s="35">
        <f t="shared" si="2"/>
        <v>1811.53</v>
      </c>
      <c r="I27" s="35">
        <f t="shared" si="2"/>
        <v>1811.53</v>
      </c>
      <c r="J27" s="35">
        <f t="shared" si="2"/>
        <v>0</v>
      </c>
      <c r="K27" s="35">
        <f t="shared" si="2"/>
        <v>1811.53</v>
      </c>
    </row>
    <row r="28" spans="1:16" ht="14.1" customHeight="1">
      <c r="A28" s="36">
        <v>221</v>
      </c>
      <c r="B28" s="53">
        <v>66569</v>
      </c>
      <c r="C28" s="41"/>
      <c r="D28" s="41"/>
      <c r="H28" s="35">
        <f t="shared" si="2"/>
        <v>61.87</v>
      </c>
      <c r="I28" s="35">
        <f t="shared" si="2"/>
        <v>61.87</v>
      </c>
      <c r="J28" s="35">
        <f t="shared" si="2"/>
        <v>0</v>
      </c>
      <c r="K28" s="35">
        <f t="shared" si="2"/>
        <v>61.87</v>
      </c>
    </row>
    <row r="29" spans="1:16" ht="14.1" customHeight="1">
      <c r="A29" s="36">
        <v>223</v>
      </c>
      <c r="B29" s="52">
        <v>3371578</v>
      </c>
      <c r="C29" s="41"/>
      <c r="D29" s="41"/>
      <c r="H29" s="35">
        <f t="shared" si="2"/>
        <v>3133.44</v>
      </c>
      <c r="I29" s="35">
        <f t="shared" si="2"/>
        <v>3133.44</v>
      </c>
      <c r="J29" s="35">
        <f t="shared" si="2"/>
        <v>0</v>
      </c>
      <c r="K29" s="35">
        <f t="shared" si="2"/>
        <v>3133.44</v>
      </c>
    </row>
    <row r="30" spans="1:16" ht="14.1" customHeight="1">
      <c r="A30" s="36">
        <v>225</v>
      </c>
      <c r="B30" s="52">
        <v>573917</v>
      </c>
      <c r="C30" s="41"/>
      <c r="D30" s="41"/>
      <c r="H30" s="35">
        <f t="shared" si="2"/>
        <v>533.38</v>
      </c>
      <c r="I30" s="35">
        <f t="shared" si="2"/>
        <v>533.38</v>
      </c>
      <c r="J30" s="35">
        <f t="shared" si="2"/>
        <v>0</v>
      </c>
      <c r="K30" s="35">
        <f t="shared" si="2"/>
        <v>533.38</v>
      </c>
    </row>
    <row r="31" spans="1:16" ht="14.1" customHeight="1">
      <c r="A31" s="36">
        <v>226</v>
      </c>
      <c r="B31" s="52">
        <v>301250</v>
      </c>
      <c r="C31" s="41"/>
      <c r="D31" s="41"/>
      <c r="H31" s="35">
        <f t="shared" si="2"/>
        <v>279.97000000000003</v>
      </c>
      <c r="I31" s="35">
        <f t="shared" si="2"/>
        <v>279.97000000000003</v>
      </c>
      <c r="J31" s="35">
        <f t="shared" si="2"/>
        <v>0</v>
      </c>
      <c r="K31" s="35">
        <f t="shared" si="2"/>
        <v>279.97000000000003</v>
      </c>
    </row>
    <row r="32" spans="1:16" ht="14.1" customHeight="1">
      <c r="A32" s="36">
        <v>291</v>
      </c>
      <c r="B32" s="52">
        <v>516254</v>
      </c>
      <c r="C32" s="41"/>
      <c r="D32" s="41"/>
      <c r="H32" s="35">
        <f t="shared" si="2"/>
        <v>479.79</v>
      </c>
      <c r="I32" s="35">
        <f t="shared" si="2"/>
        <v>479.79</v>
      </c>
      <c r="J32" s="35">
        <f t="shared" si="2"/>
        <v>0</v>
      </c>
      <c r="K32" s="35">
        <f t="shared" si="2"/>
        <v>479.79</v>
      </c>
    </row>
    <row r="33" spans="1:13" ht="14.1" customHeight="1">
      <c r="A33" s="36">
        <v>341</v>
      </c>
      <c r="B33" s="52"/>
      <c r="C33" s="41"/>
      <c r="D33" s="41"/>
    </row>
    <row r="34" spans="1:13" ht="55.5" customHeight="1">
      <c r="A34" s="118" t="s">
        <v>381</v>
      </c>
      <c r="B34" s="53">
        <v>171180</v>
      </c>
      <c r="C34" s="41"/>
      <c r="D34" s="41"/>
      <c r="H34" s="35">
        <f t="shared" si="2"/>
        <v>159.09</v>
      </c>
      <c r="I34" s="35">
        <f t="shared" si="2"/>
        <v>159.09</v>
      </c>
      <c r="J34" s="35">
        <f t="shared" si="2"/>
        <v>0</v>
      </c>
      <c r="K34" s="35">
        <f t="shared" si="2"/>
        <v>159.09</v>
      </c>
    </row>
    <row r="35" spans="1:13" ht="55.5" customHeight="1">
      <c r="A35" s="36" t="s">
        <v>303</v>
      </c>
      <c r="B35" s="53"/>
      <c r="C35" s="389"/>
      <c r="D35" s="389"/>
      <c r="H35" s="35">
        <f t="shared" si="2"/>
        <v>0</v>
      </c>
      <c r="I35" s="35">
        <f t="shared" si="2"/>
        <v>0</v>
      </c>
      <c r="J35" s="35">
        <f t="shared" si="2"/>
        <v>0</v>
      </c>
      <c r="K35" s="35">
        <f t="shared" si="2"/>
        <v>0</v>
      </c>
    </row>
    <row r="36" spans="1:13" ht="25.5">
      <c r="A36" s="101"/>
      <c r="B36" s="44">
        <f>B25+B26+B27+B28+B29+B30+B31+B32+B33+B34+B35</f>
        <v>13407274</v>
      </c>
      <c r="G36" s="49" t="s">
        <v>100</v>
      </c>
      <c r="H36" s="44">
        <f>SUM(H25:H34)</f>
        <v>12460.3</v>
      </c>
      <c r="I36" s="44">
        <f>SUM(I25:I34)</f>
        <v>12460.3</v>
      </c>
      <c r="J36" s="44">
        <f>SUM(J25:J34)</f>
        <v>0</v>
      </c>
      <c r="K36" s="44">
        <f>SUM(K25:K34)</f>
        <v>12460.3</v>
      </c>
    </row>
    <row r="37" spans="1:13">
      <c r="C37" s="235"/>
    </row>
    <row r="38" spans="1:13" ht="51">
      <c r="G38" s="49" t="s">
        <v>379</v>
      </c>
      <c r="H38" s="390">
        <v>13936.97</v>
      </c>
      <c r="I38" s="390">
        <v>13936.97</v>
      </c>
      <c r="J38" s="390">
        <v>0</v>
      </c>
      <c r="K38" s="390">
        <v>13936.97</v>
      </c>
      <c r="L38" s="44"/>
    </row>
    <row r="39" spans="1:13" ht="15">
      <c r="G39" s="35" t="s">
        <v>380</v>
      </c>
      <c r="H39" s="391">
        <v>0.89405000000000001</v>
      </c>
      <c r="I39" s="391">
        <v>0.89405000000000001</v>
      </c>
      <c r="J39" s="391">
        <v>0</v>
      </c>
      <c r="K39" s="391">
        <v>0.89405000000000001</v>
      </c>
    </row>
    <row r="40" spans="1:13">
      <c r="H40" s="44">
        <f>ROUND(H24*H38*H39,2)</f>
        <v>1844131.51</v>
      </c>
      <c r="I40" s="44">
        <f t="shared" ref="I40:K40" si="3">ROUND(I24*I38*I39,2)</f>
        <v>11463520.189999999</v>
      </c>
      <c r="J40" s="44">
        <f t="shared" si="3"/>
        <v>0</v>
      </c>
      <c r="K40" s="44">
        <f t="shared" si="3"/>
        <v>99682.78</v>
      </c>
      <c r="L40" s="44">
        <f>SUM(H40:K40)</f>
        <v>13407334.479999999</v>
      </c>
    </row>
    <row r="41" spans="1:13">
      <c r="L41" s="392">
        <f>B36-L40</f>
        <v>-60.47999999858439</v>
      </c>
      <c r="M41" s="393" t="s">
        <v>382</v>
      </c>
    </row>
  </sheetData>
  <mergeCells count="12">
    <mergeCell ref="M13:N13"/>
    <mergeCell ref="O13:P13"/>
    <mergeCell ref="A2:D2"/>
    <mergeCell ref="G8:K8"/>
    <mergeCell ref="I10:J10"/>
    <mergeCell ref="L10:M10"/>
    <mergeCell ref="N10:O10"/>
    <mergeCell ref="H21:K21"/>
    <mergeCell ref="H22:I22"/>
    <mergeCell ref="J22:K22"/>
    <mergeCell ref="M22:N22"/>
    <mergeCell ref="O22:P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41"/>
  <sheetViews>
    <sheetView topLeftCell="A14" zoomScaleSheetLayoutView="100" workbookViewId="0">
      <selection activeCell="B19" sqref="B19"/>
    </sheetView>
  </sheetViews>
  <sheetFormatPr defaultColWidth="9.140625" defaultRowHeight="12.75"/>
  <cols>
    <col min="1" max="1" width="12.140625" style="35" customWidth="1"/>
    <col min="2" max="2" width="15.5703125" style="35" customWidth="1"/>
    <col min="3" max="3" width="18.140625" style="35" hidden="1" customWidth="1"/>
    <col min="4" max="4" width="15.140625" style="35" hidden="1" customWidth="1"/>
    <col min="5" max="6" width="0" style="35" hidden="1" customWidth="1"/>
    <col min="7" max="7" width="12.42578125" style="35" customWidth="1"/>
    <col min="8" max="8" width="13.5703125" style="35" customWidth="1"/>
    <col min="9" max="9" width="16" style="35" customWidth="1"/>
    <col min="10" max="10" width="13.7109375" style="35" customWidth="1"/>
    <col min="11" max="11" width="9.140625" style="35"/>
    <col min="12" max="15" width="14.7109375" style="35" customWidth="1"/>
    <col min="16" max="16" width="15.140625" style="35" customWidth="1"/>
    <col min="17" max="16384" width="9.140625" style="35"/>
  </cols>
  <sheetData>
    <row r="2" spans="1:16" ht="18">
      <c r="A2" s="500" t="s">
        <v>91</v>
      </c>
      <c r="B2" s="500"/>
      <c r="C2" s="500"/>
      <c r="D2" s="500"/>
    </row>
    <row r="3" spans="1:16">
      <c r="H3" s="35" t="s">
        <v>97</v>
      </c>
    </row>
    <row r="4" spans="1:16">
      <c r="G4" s="35" t="s">
        <v>94</v>
      </c>
      <c r="H4" s="35">
        <v>57928.18</v>
      </c>
    </row>
    <row r="5" spans="1:16">
      <c r="G5" s="35" t="s">
        <v>96</v>
      </c>
      <c r="H5" s="35">
        <v>7555.49</v>
      </c>
    </row>
    <row r="6" spans="1:16" ht="38.25">
      <c r="G6" s="46" t="s">
        <v>98</v>
      </c>
      <c r="H6" s="35">
        <v>37.35</v>
      </c>
    </row>
    <row r="8" spans="1:16" ht="29.25" customHeight="1">
      <c r="G8" s="501" t="s">
        <v>101</v>
      </c>
      <c r="H8" s="501"/>
      <c r="I8" s="501"/>
      <c r="J8" s="501"/>
      <c r="K8" s="501"/>
    </row>
    <row r="9" spans="1:16">
      <c r="G9" s="295"/>
      <c r="H9" s="295"/>
      <c r="K9" s="295"/>
    </row>
    <row r="10" spans="1:16">
      <c r="G10" s="295"/>
      <c r="H10" s="295"/>
      <c r="I10" s="502" t="s">
        <v>102</v>
      </c>
      <c r="J10" s="503"/>
      <c r="K10" s="295"/>
      <c r="L10" s="502" t="s">
        <v>325</v>
      </c>
      <c r="M10" s="503"/>
      <c r="N10" s="502" t="s">
        <v>326</v>
      </c>
      <c r="O10" s="503"/>
    </row>
    <row r="11" spans="1:16">
      <c r="H11" s="45"/>
      <c r="I11" s="36" t="s">
        <v>97</v>
      </c>
      <c r="J11" s="36" t="s">
        <v>99</v>
      </c>
      <c r="L11" s="36" t="s">
        <v>97</v>
      </c>
      <c r="M11" s="36" t="s">
        <v>99</v>
      </c>
      <c r="N11" s="36" t="s">
        <v>97</v>
      </c>
      <c r="O11" s="36" t="s">
        <v>99</v>
      </c>
    </row>
    <row r="12" spans="1:16">
      <c r="A12" s="36" t="s">
        <v>92</v>
      </c>
      <c r="B12" s="36" t="s">
        <v>93</v>
      </c>
      <c r="C12" s="36" t="s">
        <v>94</v>
      </c>
      <c r="D12" s="36" t="s">
        <v>95</v>
      </c>
      <c r="G12" s="35" t="s">
        <v>324</v>
      </c>
      <c r="I12" s="51">
        <f>ROUND((L12*8+N12*4)/12,0)</f>
        <v>215</v>
      </c>
      <c r="J12" s="51">
        <f>ROUND((M12*8+O12*4)/12,0)</f>
        <v>1111</v>
      </c>
      <c r="L12" s="282">
        <v>215</v>
      </c>
      <c r="M12" s="282">
        <v>1111</v>
      </c>
      <c r="N12" s="282">
        <v>215</v>
      </c>
      <c r="O12" s="282">
        <v>1111</v>
      </c>
    </row>
    <row r="13" spans="1:16" ht="26.25" customHeight="1">
      <c r="A13" s="37"/>
      <c r="B13" s="38">
        <f>B14+B24</f>
        <v>96017754</v>
      </c>
      <c r="C13" s="38">
        <f>C14+C24</f>
        <v>0</v>
      </c>
      <c r="D13" s="38">
        <f>D14+D24</f>
        <v>0</v>
      </c>
      <c r="M13" s="499"/>
      <c r="N13" s="499"/>
      <c r="O13" s="499"/>
      <c r="P13" s="499"/>
    </row>
    <row r="14" spans="1:16" s="40" customFormat="1" ht="14.1" customHeight="1">
      <c r="A14" s="40" t="s">
        <v>104</v>
      </c>
      <c r="B14" s="38">
        <f>SUM(B15:B18)</f>
        <v>82286825</v>
      </c>
      <c r="C14" s="38">
        <f>SUM(C15:C18)</f>
        <v>0</v>
      </c>
      <c r="D14" s="38">
        <f>SUM(D15:D18)</f>
        <v>0</v>
      </c>
      <c r="E14" s="39"/>
      <c r="F14" s="39"/>
      <c r="G14" s="39"/>
      <c r="H14" s="39"/>
      <c r="M14" s="84"/>
      <c r="N14" s="84"/>
      <c r="O14" s="84"/>
      <c r="P14" s="84"/>
    </row>
    <row r="15" spans="1:16" ht="14.1" customHeight="1">
      <c r="A15" s="36">
        <v>211</v>
      </c>
      <c r="B15" s="52">
        <v>62849184</v>
      </c>
      <c r="C15" s="41"/>
      <c r="D15" s="41"/>
      <c r="G15" s="44"/>
      <c r="H15" s="47"/>
      <c r="I15" s="44">
        <f>ROUND(B15/($I$12+$J$12),2)</f>
        <v>47397.57</v>
      </c>
      <c r="J15" s="44">
        <f>ROUND(B15/($I$12+$J$12),2)</f>
        <v>47397.57</v>
      </c>
      <c r="M15" s="44"/>
      <c r="N15" s="44"/>
      <c r="O15" s="44"/>
      <c r="P15" s="44"/>
    </row>
    <row r="16" spans="1:16" ht="14.1" customHeight="1">
      <c r="A16" s="36">
        <v>213</v>
      </c>
      <c r="B16" s="52">
        <v>18980453</v>
      </c>
      <c r="C16" s="41"/>
      <c r="D16" s="41"/>
      <c r="G16" s="44"/>
      <c r="H16" s="47"/>
      <c r="I16" s="44">
        <f t="shared" ref="I16:I18" si="0">ROUND(B16/($I$12+$J$12),2)</f>
        <v>14314.07</v>
      </c>
      <c r="J16" s="44">
        <f t="shared" ref="J16:J18" si="1">ROUND(B16/($I$12+$J$12),2)</f>
        <v>14314.07</v>
      </c>
      <c r="N16" s="44"/>
      <c r="P16" s="44"/>
    </row>
    <row r="17" spans="1:16" ht="14.1" customHeight="1">
      <c r="A17" s="36">
        <v>226</v>
      </c>
      <c r="B17" s="52">
        <v>35520</v>
      </c>
      <c r="C17" s="41"/>
      <c r="D17" s="41"/>
      <c r="G17" s="44"/>
      <c r="H17" s="47"/>
      <c r="I17" s="44">
        <f t="shared" si="0"/>
        <v>26.79</v>
      </c>
      <c r="J17" s="44">
        <f t="shared" si="1"/>
        <v>26.79</v>
      </c>
    </row>
    <row r="18" spans="1:16" ht="14.1" customHeight="1">
      <c r="A18" s="36">
        <v>346</v>
      </c>
      <c r="B18" s="52">
        <v>421668</v>
      </c>
      <c r="C18" s="41"/>
      <c r="D18" s="41"/>
      <c r="G18" s="44"/>
      <c r="H18" s="47"/>
      <c r="I18" s="44">
        <f t="shared" si="0"/>
        <v>318</v>
      </c>
      <c r="J18" s="44">
        <f t="shared" si="1"/>
        <v>318</v>
      </c>
    </row>
    <row r="19" spans="1:16" ht="14.1" customHeight="1">
      <c r="A19" s="36" t="s">
        <v>302</v>
      </c>
      <c r="B19" s="43"/>
      <c r="C19" s="41"/>
      <c r="D19" s="41"/>
      <c r="G19" s="35" t="s">
        <v>100</v>
      </c>
      <c r="I19" s="44">
        <f>SUM(I15:I18)</f>
        <v>62056.43</v>
      </c>
      <c r="J19" s="44">
        <f>SUM(J15:J18)</f>
        <v>62056.43</v>
      </c>
    </row>
    <row r="20" spans="1:16" ht="14.1" customHeight="1">
      <c r="A20" s="36" t="s">
        <v>303</v>
      </c>
      <c r="B20" s="43"/>
      <c r="C20" s="41"/>
      <c r="D20" s="41"/>
    </row>
    <row r="21" spans="1:16" ht="14.1" customHeight="1">
      <c r="A21" s="36"/>
      <c r="B21" s="43"/>
      <c r="C21" s="41"/>
      <c r="D21" s="41"/>
      <c r="H21" s="504" t="s">
        <v>90</v>
      </c>
      <c r="I21" s="504"/>
      <c r="J21" s="504"/>
      <c r="K21" s="504"/>
    </row>
    <row r="22" spans="1:16" ht="14.1" customHeight="1">
      <c r="A22" s="36"/>
      <c r="B22" s="43"/>
      <c r="C22" s="41"/>
      <c r="D22" s="41"/>
      <c r="H22" s="502" t="s">
        <v>102</v>
      </c>
      <c r="I22" s="503"/>
      <c r="J22" s="502" t="s">
        <v>103</v>
      </c>
      <c r="K22" s="503"/>
      <c r="M22" s="502" t="s">
        <v>325</v>
      </c>
      <c r="N22" s="503"/>
      <c r="O22" s="502" t="s">
        <v>326</v>
      </c>
      <c r="P22" s="503"/>
    </row>
    <row r="23" spans="1:16" ht="14.1" customHeight="1">
      <c r="A23" s="36"/>
      <c r="B23" s="42"/>
      <c r="C23" s="41"/>
      <c r="D23" s="41"/>
      <c r="H23" s="36" t="s">
        <v>97</v>
      </c>
      <c r="I23" s="36" t="s">
        <v>99</v>
      </c>
      <c r="J23" s="36" t="s">
        <v>97</v>
      </c>
      <c r="K23" s="36" t="s">
        <v>99</v>
      </c>
      <c r="M23" s="36" t="s">
        <v>97</v>
      </c>
      <c r="N23" s="36" t="s">
        <v>99</v>
      </c>
      <c r="O23" s="36" t="s">
        <v>97</v>
      </c>
      <c r="P23" s="36" t="s">
        <v>99</v>
      </c>
    </row>
    <row r="24" spans="1:16" ht="14.1" customHeight="1">
      <c r="A24" s="37" t="s">
        <v>105</v>
      </c>
      <c r="B24" s="50">
        <f>SUM(B25:B34)</f>
        <v>13730929</v>
      </c>
      <c r="C24" s="50">
        <f>SUM(C25:C34)</f>
        <v>0</v>
      </c>
      <c r="D24" s="50">
        <f>SUM(D25:D34)</f>
        <v>0</v>
      </c>
      <c r="H24" s="51">
        <f>I12-J24</f>
        <v>215</v>
      </c>
      <c r="I24" s="51">
        <f>J12-K24</f>
        <v>1103</v>
      </c>
      <c r="J24" s="51">
        <f>ROUND((M24*8+O24*4)/12,0)</f>
        <v>0</v>
      </c>
      <c r="K24" s="51">
        <f>ROUND((N24*8+P24*4)/12,0)</f>
        <v>8</v>
      </c>
      <c r="M24" s="282">
        <v>0</v>
      </c>
      <c r="N24" s="282">
        <v>8</v>
      </c>
      <c r="O24" s="282">
        <v>0</v>
      </c>
      <c r="P24" s="282">
        <v>8</v>
      </c>
    </row>
    <row r="25" spans="1:16" ht="14.1" customHeight="1">
      <c r="A25" s="36" t="s">
        <v>320</v>
      </c>
      <c r="B25" s="53">
        <v>6702904</v>
      </c>
      <c r="C25" s="41"/>
      <c r="D25" s="41"/>
      <c r="H25" s="35">
        <f>IF(H$24&lt;=0,0,ROUND($B25/($H$24+$I$24+$J$24+$K$24),2))</f>
        <v>5054.9799999999996</v>
      </c>
      <c r="I25" s="35">
        <f>IF(I$24&lt;=0,0,ROUND($B25/($H$24+$I$24+$J$24+$K$24),2))</f>
        <v>5054.9799999999996</v>
      </c>
      <c r="J25" s="35">
        <f>IF(J$24&lt;=0,0,ROUND($B25/($H$24+$I$24+$J$24+$K$24),2))</f>
        <v>0</v>
      </c>
      <c r="K25" s="35">
        <f>IF(K$24&lt;=0,0,ROUND($B25/($H$24+$I$24+$J$24+$K$24),2))</f>
        <v>5054.9799999999996</v>
      </c>
    </row>
    <row r="26" spans="1:16" ht="14.1" customHeight="1">
      <c r="A26" s="36">
        <v>266</v>
      </c>
      <c r="B26" s="53">
        <v>3000</v>
      </c>
      <c r="C26" s="41"/>
      <c r="D26" s="41"/>
      <c r="H26" s="35">
        <f t="shared" ref="H26:K34" si="2">IF(H$24&lt;=0,0,ROUND($B26/($H$24+$I$24+$J$24+$K$24),2))</f>
        <v>2.2599999999999998</v>
      </c>
      <c r="I26" s="35">
        <f t="shared" si="2"/>
        <v>2.2599999999999998</v>
      </c>
      <c r="J26" s="35">
        <f t="shared" si="2"/>
        <v>0</v>
      </c>
      <c r="K26" s="35">
        <f t="shared" si="2"/>
        <v>2.2599999999999998</v>
      </c>
    </row>
    <row r="27" spans="1:16" ht="14.1" customHeight="1">
      <c r="A27" s="36" t="s">
        <v>321</v>
      </c>
      <c r="B27" s="53">
        <v>2024277</v>
      </c>
      <c r="C27" s="41"/>
      <c r="D27" s="41"/>
      <c r="H27" s="35">
        <f t="shared" si="2"/>
        <v>1526.6</v>
      </c>
      <c r="I27" s="35">
        <f t="shared" si="2"/>
        <v>1526.6</v>
      </c>
      <c r="J27" s="35">
        <f t="shared" si="2"/>
        <v>0</v>
      </c>
      <c r="K27" s="35">
        <f t="shared" si="2"/>
        <v>1526.6</v>
      </c>
    </row>
    <row r="28" spans="1:16" ht="14.1" customHeight="1">
      <c r="A28" s="36">
        <v>221</v>
      </c>
      <c r="B28" s="53">
        <v>66569</v>
      </c>
      <c r="C28" s="41"/>
      <c r="D28" s="41"/>
      <c r="H28" s="35">
        <f t="shared" si="2"/>
        <v>50.2</v>
      </c>
      <c r="I28" s="35">
        <f t="shared" si="2"/>
        <v>50.2</v>
      </c>
      <c r="J28" s="35">
        <f t="shared" si="2"/>
        <v>0</v>
      </c>
      <c r="K28" s="35">
        <f t="shared" si="2"/>
        <v>50.2</v>
      </c>
    </row>
    <row r="29" spans="1:16" ht="14.1" customHeight="1">
      <c r="A29" s="36">
        <v>223</v>
      </c>
      <c r="B29" s="52">
        <v>3371578</v>
      </c>
      <c r="C29" s="41"/>
      <c r="D29" s="41"/>
      <c r="H29" s="35">
        <f t="shared" si="2"/>
        <v>2542.67</v>
      </c>
      <c r="I29" s="35">
        <f t="shared" si="2"/>
        <v>2542.67</v>
      </c>
      <c r="J29" s="35">
        <f t="shared" si="2"/>
        <v>0</v>
      </c>
      <c r="K29" s="35">
        <f t="shared" si="2"/>
        <v>2542.67</v>
      </c>
    </row>
    <row r="30" spans="1:16" ht="14.1" customHeight="1">
      <c r="A30" s="36">
        <v>225</v>
      </c>
      <c r="B30" s="52">
        <v>573917</v>
      </c>
      <c r="C30" s="41"/>
      <c r="D30" s="41"/>
      <c r="H30" s="35">
        <f t="shared" si="2"/>
        <v>432.82</v>
      </c>
      <c r="I30" s="35">
        <f t="shared" si="2"/>
        <v>432.82</v>
      </c>
      <c r="J30" s="35">
        <f t="shared" si="2"/>
        <v>0</v>
      </c>
      <c r="K30" s="35">
        <f t="shared" si="2"/>
        <v>432.82</v>
      </c>
    </row>
    <row r="31" spans="1:16" ht="14.1" customHeight="1">
      <c r="A31" s="36">
        <v>226</v>
      </c>
      <c r="B31" s="52">
        <v>294350</v>
      </c>
      <c r="C31" s="41"/>
      <c r="D31" s="41"/>
      <c r="H31" s="35">
        <f t="shared" si="2"/>
        <v>221.98</v>
      </c>
      <c r="I31" s="35">
        <f t="shared" si="2"/>
        <v>221.98</v>
      </c>
      <c r="J31" s="35">
        <f t="shared" si="2"/>
        <v>0</v>
      </c>
      <c r="K31" s="35">
        <f t="shared" si="2"/>
        <v>221.98</v>
      </c>
    </row>
    <row r="32" spans="1:16" ht="14.1" customHeight="1">
      <c r="A32" s="36">
        <v>291</v>
      </c>
      <c r="B32" s="52">
        <v>516254</v>
      </c>
      <c r="C32" s="41"/>
      <c r="D32" s="41"/>
      <c r="H32" s="35">
        <f t="shared" si="2"/>
        <v>389.33</v>
      </c>
      <c r="I32" s="35">
        <f t="shared" si="2"/>
        <v>389.33</v>
      </c>
      <c r="J32" s="35">
        <f t="shared" si="2"/>
        <v>0</v>
      </c>
      <c r="K32" s="35">
        <f t="shared" si="2"/>
        <v>389.33</v>
      </c>
    </row>
    <row r="33" spans="1:13" ht="14.1" customHeight="1">
      <c r="A33" s="36">
        <v>341</v>
      </c>
      <c r="B33" s="52"/>
      <c r="C33" s="41"/>
      <c r="D33" s="41"/>
    </row>
    <row r="34" spans="1:13" ht="36.75" customHeight="1">
      <c r="A34" s="118" t="s">
        <v>381</v>
      </c>
      <c r="B34" s="53">
        <f>171180+6900</f>
        <v>178080</v>
      </c>
      <c r="C34" s="41"/>
      <c r="D34" s="41"/>
      <c r="H34" s="35">
        <f t="shared" si="2"/>
        <v>134.30000000000001</v>
      </c>
      <c r="I34" s="35">
        <f t="shared" si="2"/>
        <v>134.30000000000001</v>
      </c>
      <c r="J34" s="35">
        <f t="shared" si="2"/>
        <v>0</v>
      </c>
      <c r="K34" s="35">
        <f t="shared" si="2"/>
        <v>134.30000000000001</v>
      </c>
    </row>
    <row r="35" spans="1:13" ht="36.75" customHeight="1">
      <c r="A35" s="36" t="s">
        <v>303</v>
      </c>
      <c r="B35" s="53"/>
      <c r="C35" s="389"/>
      <c r="D35" s="389"/>
    </row>
    <row r="36" spans="1:13" ht="25.5">
      <c r="B36" s="44">
        <f>B25+B26+B27+B28+B29+B30+B31+B32+B33+B34+B35</f>
        <v>13730929</v>
      </c>
      <c r="G36" s="49" t="s">
        <v>100</v>
      </c>
      <c r="H36" s="44">
        <f>SUM(H25:H34)</f>
        <v>10355.139999999998</v>
      </c>
      <c r="I36" s="44">
        <f>SUM(I25:I34)</f>
        <v>10355.139999999998</v>
      </c>
      <c r="J36" s="44">
        <f>SUM(J25:J34)</f>
        <v>0</v>
      </c>
      <c r="K36" s="44">
        <f>SUM(K25:K34)</f>
        <v>10355.139999999998</v>
      </c>
    </row>
    <row r="37" spans="1:13">
      <c r="C37" s="235"/>
    </row>
    <row r="38" spans="1:13" ht="51">
      <c r="G38" s="49" t="s">
        <v>379</v>
      </c>
      <c r="H38" s="390">
        <v>11555.66</v>
      </c>
      <c r="I38" s="390">
        <v>11555.66</v>
      </c>
      <c r="J38" s="390">
        <v>0</v>
      </c>
      <c r="K38" s="390">
        <v>11555.66</v>
      </c>
      <c r="L38" s="44"/>
    </row>
    <row r="39" spans="1:13" ht="15">
      <c r="G39" s="35" t="s">
        <v>380</v>
      </c>
      <c r="H39" s="391">
        <v>0.89610999999999996</v>
      </c>
      <c r="I39" s="391">
        <v>0.89610999999999996</v>
      </c>
      <c r="J39" s="391">
        <v>0</v>
      </c>
      <c r="K39" s="391">
        <v>0.89610999999999996</v>
      </c>
    </row>
    <row r="40" spans="1:13">
      <c r="H40" s="44">
        <f>ROUND(H24*H38*H39,2)</f>
        <v>2226355.63</v>
      </c>
      <c r="I40" s="44">
        <f t="shared" ref="I40:K40" si="3">ROUND(I24*I38*I39,2)</f>
        <v>11421722.16</v>
      </c>
      <c r="J40" s="44">
        <f t="shared" si="3"/>
        <v>0</v>
      </c>
      <c r="K40" s="44">
        <f t="shared" si="3"/>
        <v>82841.14</v>
      </c>
      <c r="L40" s="44">
        <f>SUM(H40:K40)</f>
        <v>13730918.93</v>
      </c>
    </row>
    <row r="41" spans="1:13">
      <c r="L41" s="392">
        <f>B36-L40</f>
        <v>10.070000000298023</v>
      </c>
      <c r="M41" s="393" t="s">
        <v>382</v>
      </c>
    </row>
  </sheetData>
  <mergeCells count="12">
    <mergeCell ref="M13:N13"/>
    <mergeCell ref="O13:P13"/>
    <mergeCell ref="A2:D2"/>
    <mergeCell ref="G8:K8"/>
    <mergeCell ref="I10:J10"/>
    <mergeCell ref="L10:M10"/>
    <mergeCell ref="N10:O10"/>
    <mergeCell ref="H21:K21"/>
    <mergeCell ref="H22:I22"/>
    <mergeCell ref="J22:K22"/>
    <mergeCell ref="M22:N22"/>
    <mergeCell ref="O22:P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F101"/>
  <sheetViews>
    <sheetView topLeftCell="A85" zoomScaleSheetLayoutView="100" workbookViewId="0">
      <selection activeCell="G102" sqref="G102"/>
    </sheetView>
  </sheetViews>
  <sheetFormatPr defaultColWidth="9.140625" defaultRowHeight="12.75"/>
  <cols>
    <col min="1" max="1" width="2" style="35" bestFit="1" customWidth="1"/>
    <col min="2" max="2" width="15.5703125" style="35" customWidth="1"/>
    <col min="3" max="3" width="15.28515625" style="49" customWidth="1"/>
    <col min="4" max="4" width="14.7109375" style="49" customWidth="1"/>
    <col min="5" max="5" width="14" style="49" customWidth="1"/>
    <col min="6" max="6" width="11.7109375" style="49" customWidth="1"/>
    <col min="7" max="7" width="12.140625" style="49" customWidth="1"/>
    <col min="8" max="8" width="12" style="49" customWidth="1"/>
    <col min="9" max="9" width="12.85546875" style="49" customWidth="1"/>
    <col min="10" max="10" width="10.7109375" style="49" customWidth="1"/>
    <col min="11" max="11" width="18.28515625" style="49" bestFit="1" customWidth="1"/>
    <col min="12" max="12" width="10" style="49" customWidth="1"/>
    <col min="13" max="13" width="12.42578125" style="35" bestFit="1" customWidth="1"/>
    <col min="14" max="14" width="10.140625" style="35" customWidth="1"/>
    <col min="15" max="15" width="9.28515625" style="35" bestFit="1" customWidth="1"/>
    <col min="16" max="16" width="9.140625" style="35"/>
    <col min="17" max="17" width="12.5703125" style="35" customWidth="1"/>
    <col min="18" max="18" width="10.140625" style="35" bestFit="1" customWidth="1"/>
    <col min="19" max="16384" width="9.140625" style="35"/>
  </cols>
  <sheetData>
    <row r="1" spans="2:22">
      <c r="H1" s="507" t="s">
        <v>112</v>
      </c>
      <c r="I1" s="507"/>
    </row>
    <row r="2" spans="2:22" s="56" customFormat="1" ht="35.25" customHeight="1">
      <c r="B2" s="509" t="s">
        <v>235</v>
      </c>
      <c r="C2" s="509"/>
      <c r="D2" s="509"/>
      <c r="E2" s="509"/>
      <c r="F2" s="509"/>
      <c r="G2" s="509"/>
      <c r="H2" s="509"/>
      <c r="I2" s="148"/>
      <c r="J2" s="58"/>
      <c r="K2" s="58"/>
      <c r="L2" s="58"/>
    </row>
    <row r="3" spans="2:22" s="59" customFormat="1" ht="20.25" customHeight="1">
      <c r="C3" s="60"/>
      <c r="D3" s="60"/>
      <c r="E3" s="60"/>
      <c r="F3" s="60"/>
      <c r="G3" s="60"/>
      <c r="H3" s="508"/>
      <c r="I3" s="508"/>
      <c r="J3" s="61"/>
      <c r="K3" s="61"/>
      <c r="L3" s="61"/>
    </row>
    <row r="4" spans="2:22" s="59" customFormat="1" ht="54.75" customHeight="1">
      <c r="B4" s="506" t="s">
        <v>113</v>
      </c>
      <c r="C4" s="506"/>
      <c r="D4" s="506"/>
      <c r="E4" s="506"/>
      <c r="F4" s="506"/>
      <c r="G4" s="506"/>
      <c r="H4" s="506"/>
      <c r="I4" s="147"/>
      <c r="J4" s="61"/>
      <c r="K4" s="78"/>
      <c r="L4" s="61"/>
    </row>
    <row r="5" spans="2:22" s="59" customFormat="1" ht="16.5" thickBot="1">
      <c r="B5" s="62"/>
      <c r="C5" s="62"/>
      <c r="D5" s="62"/>
      <c r="E5" s="62"/>
      <c r="F5" s="62"/>
      <c r="G5" s="62"/>
      <c r="H5" s="62"/>
      <c r="I5" s="147"/>
      <c r="J5" s="61"/>
      <c r="K5" s="61"/>
      <c r="L5" s="61"/>
    </row>
    <row r="6" spans="2:22" s="59" customFormat="1" ht="38.25">
      <c r="B6" s="63" t="s">
        <v>114</v>
      </c>
      <c r="C6" s="64" t="s">
        <v>115</v>
      </c>
      <c r="D6" s="64" t="s">
        <v>116</v>
      </c>
      <c r="E6" s="64" t="s">
        <v>117</v>
      </c>
      <c r="F6" s="64" t="s">
        <v>118</v>
      </c>
      <c r="G6" s="64" t="s">
        <v>94</v>
      </c>
      <c r="H6" s="65" t="s">
        <v>119</v>
      </c>
      <c r="I6" s="61"/>
      <c r="J6" s="61"/>
      <c r="T6" s="66"/>
      <c r="U6" s="66"/>
      <c r="V6" s="66"/>
    </row>
    <row r="7" spans="2:22" s="59" customFormat="1">
      <c r="B7" s="67">
        <f>M10</f>
        <v>62.96</v>
      </c>
      <c r="C7" s="68">
        <f>P10</f>
        <v>19967.55</v>
      </c>
      <c r="D7" s="68">
        <f>Q10</f>
        <v>1.3458740634622406</v>
      </c>
      <c r="E7" s="68">
        <v>8</v>
      </c>
      <c r="F7" s="68">
        <v>1</v>
      </c>
      <c r="G7" s="69">
        <f>ROUND((B7*C7*D7*E7*F7),2)+6.07</f>
        <v>13535805.51</v>
      </c>
      <c r="H7" s="70">
        <f>ROUND(G7*30.2%,2)-0.58</f>
        <v>4087812.6799999997</v>
      </c>
      <c r="I7" s="61"/>
      <c r="J7" s="523" t="s">
        <v>120</v>
      </c>
      <c r="K7" s="523"/>
      <c r="T7" s="66"/>
      <c r="U7" s="66"/>
      <c r="V7" s="66"/>
    </row>
    <row r="8" spans="2:22" s="59" customFormat="1">
      <c r="B8" s="67">
        <f>M14</f>
        <v>62.96</v>
      </c>
      <c r="C8" s="68">
        <f>P14</f>
        <v>19967.55</v>
      </c>
      <c r="D8" s="68">
        <f>Q14</f>
        <v>1.3458740634622406</v>
      </c>
      <c r="E8" s="68">
        <v>4</v>
      </c>
      <c r="F8" s="68">
        <v>1</v>
      </c>
      <c r="G8" s="69">
        <f>ROUND((B8*C8*D8*E8*F8),2)</f>
        <v>6767899.7199999997</v>
      </c>
      <c r="H8" s="70">
        <f>ROUND(G8*30.2%,2)</f>
        <v>2043905.72</v>
      </c>
      <c r="I8" s="61"/>
      <c r="J8" s="71"/>
      <c r="K8" s="68"/>
      <c r="L8" s="71" t="s">
        <v>121</v>
      </c>
      <c r="M8" s="71" t="s">
        <v>122</v>
      </c>
      <c r="N8" s="71" t="s">
        <v>123</v>
      </c>
      <c r="O8" s="71" t="s">
        <v>124</v>
      </c>
      <c r="P8" s="71"/>
      <c r="Q8" s="71"/>
      <c r="T8" s="66"/>
      <c r="U8" s="66"/>
      <c r="V8" s="66"/>
    </row>
    <row r="9" spans="2:22" s="59" customFormat="1">
      <c r="B9" s="67">
        <f>M18</f>
        <v>0</v>
      </c>
      <c r="C9" s="68">
        <f>P18</f>
        <v>0</v>
      </c>
      <c r="D9" s="68">
        <f>Q18</f>
        <v>0</v>
      </c>
      <c r="E9" s="68"/>
      <c r="F9" s="68">
        <v>1</v>
      </c>
      <c r="G9" s="338">
        <f>ROUND((B9*C9*D9*E9*F9),2)</f>
        <v>0</v>
      </c>
      <c r="H9" s="70">
        <f>ROUND(G9*30.2%,2)</f>
        <v>0</v>
      </c>
      <c r="I9" s="61"/>
      <c r="J9" s="284">
        <v>43466</v>
      </c>
      <c r="K9" s="68" t="s">
        <v>125</v>
      </c>
      <c r="L9" s="77">
        <v>3673230</v>
      </c>
      <c r="M9" s="77">
        <v>143.96</v>
      </c>
      <c r="N9" s="71">
        <f>L9-O9</f>
        <v>2430462.52</v>
      </c>
      <c r="O9" s="77">
        <v>1242767.48</v>
      </c>
      <c r="P9" s="207"/>
      <c r="Q9" s="71"/>
      <c r="T9" s="66"/>
      <c r="U9" s="66"/>
      <c r="V9" s="66"/>
    </row>
    <row r="10" spans="2:22" s="59" customFormat="1" ht="13.5" thickBot="1">
      <c r="B10" s="72">
        <f>M22</f>
        <v>0</v>
      </c>
      <c r="C10" s="74">
        <f>P22</f>
        <v>0</v>
      </c>
      <c r="D10" s="74">
        <f>Q22</f>
        <v>0</v>
      </c>
      <c r="E10" s="74"/>
      <c r="F10" s="74">
        <v>1</v>
      </c>
      <c r="G10" s="341">
        <f>ROUND((B10*C10*D10*E10*F10),2)</f>
        <v>0</v>
      </c>
      <c r="H10" s="342">
        <f>ROUND(G10*30.2%,2)</f>
        <v>0</v>
      </c>
      <c r="I10" s="61"/>
      <c r="J10" s="71"/>
      <c r="K10" s="71" t="s">
        <v>236</v>
      </c>
      <c r="L10" s="71">
        <f>N10+O10</f>
        <v>1691975</v>
      </c>
      <c r="M10" s="77">
        <v>62.96</v>
      </c>
      <c r="N10" s="77">
        <v>1257157</v>
      </c>
      <c r="O10" s="77">
        <v>434818</v>
      </c>
      <c r="P10" s="71">
        <f>IF(M10=0,0,ROUND(N10/M10,2))</f>
        <v>19967.55</v>
      </c>
      <c r="Q10" s="71">
        <f>IF(N10=0,0,O10/N10+1)</f>
        <v>1.3458740634622406</v>
      </c>
      <c r="T10" s="66"/>
      <c r="U10" s="66"/>
      <c r="V10" s="66"/>
    </row>
    <row r="11" spans="2:22" s="59" customFormat="1" ht="13.5" thickBot="1">
      <c r="B11" s="61"/>
      <c r="C11" s="61"/>
      <c r="D11" s="61"/>
      <c r="E11" s="61"/>
      <c r="F11" s="61"/>
      <c r="G11" s="287">
        <f>SUM(G7:G10)</f>
        <v>20303705.23</v>
      </c>
      <c r="H11" s="288">
        <f>SUM(H7:H10)</f>
        <v>6131718.3999999994</v>
      </c>
      <c r="I11" s="61"/>
      <c r="J11" s="71"/>
      <c r="K11" s="71" t="s">
        <v>127</v>
      </c>
      <c r="L11" s="71">
        <f>L9-L10</f>
        <v>1981255</v>
      </c>
      <c r="M11" s="71">
        <f>M9-M10</f>
        <v>81</v>
      </c>
      <c r="N11" s="71">
        <f>N9-N10</f>
        <v>1173305.52</v>
      </c>
      <c r="O11" s="71">
        <f>O9-O10</f>
        <v>807949.48</v>
      </c>
      <c r="P11" s="71">
        <f>IF(M11=0,0,ROUND(N11/M11,2))</f>
        <v>14485.25</v>
      </c>
      <c r="Q11" s="71">
        <f>IF(N11=0,0,O11/N11+1)</f>
        <v>1.6886096299964564</v>
      </c>
      <c r="T11" s="66"/>
      <c r="U11" s="66"/>
      <c r="V11" s="66"/>
    </row>
    <row r="12" spans="2:22" s="59" customFormat="1">
      <c r="C12" s="61"/>
      <c r="D12" s="61"/>
      <c r="E12" s="61"/>
      <c r="F12" s="61"/>
      <c r="G12" s="61"/>
      <c r="H12" s="78"/>
      <c r="I12" s="61"/>
      <c r="J12" s="68"/>
      <c r="K12" s="71"/>
      <c r="L12" s="71"/>
      <c r="M12" s="71"/>
      <c r="N12" s="71"/>
      <c r="O12" s="71"/>
      <c r="P12" s="71"/>
      <c r="Q12" s="71"/>
      <c r="T12" s="66"/>
      <c r="U12" s="66"/>
      <c r="V12" s="66"/>
    </row>
    <row r="13" spans="2:22" s="59" customFormat="1" ht="13.5" thickBot="1">
      <c r="C13" s="61"/>
      <c r="D13" s="61"/>
      <c r="E13" s="61"/>
      <c r="F13" s="61"/>
      <c r="G13" s="61"/>
      <c r="H13" s="61"/>
      <c r="I13" s="61"/>
      <c r="J13" s="284">
        <v>43709</v>
      </c>
      <c r="K13" s="68" t="s">
        <v>125</v>
      </c>
      <c r="L13" s="77">
        <v>3408812</v>
      </c>
      <c r="M13" s="77">
        <f>M9</f>
        <v>143.96</v>
      </c>
      <c r="N13" s="71">
        <f>L13-O13</f>
        <v>2430462.52</v>
      </c>
      <c r="O13" s="77">
        <f>O9+R13</f>
        <v>978349.48</v>
      </c>
      <c r="P13" s="207"/>
      <c r="Q13" s="71"/>
      <c r="R13" s="59">
        <f>L13-L9</f>
        <v>-264418</v>
      </c>
      <c r="T13" s="66"/>
      <c r="U13" s="66"/>
      <c r="V13" s="66"/>
    </row>
    <row r="14" spans="2:22" s="59" customFormat="1" ht="101.25">
      <c r="B14" s="79"/>
      <c r="C14" s="80" t="s">
        <v>128</v>
      </c>
      <c r="D14" s="64" t="s">
        <v>129</v>
      </c>
      <c r="E14" s="64"/>
      <c r="F14" s="81" t="s">
        <v>130</v>
      </c>
      <c r="G14" s="61"/>
      <c r="H14" s="61"/>
      <c r="I14" s="78"/>
      <c r="J14" s="71"/>
      <c r="K14" s="71" t="s">
        <v>236</v>
      </c>
      <c r="L14" s="71">
        <f>N14+O14</f>
        <v>1691975</v>
      </c>
      <c r="M14" s="77">
        <f>M10</f>
        <v>62.96</v>
      </c>
      <c r="N14" s="77">
        <f>N10</f>
        <v>1257157</v>
      </c>
      <c r="O14" s="77">
        <f>O10</f>
        <v>434818</v>
      </c>
      <c r="P14" s="71">
        <f>IF(M14=0,0,ROUND(N14/M14,2))</f>
        <v>19967.55</v>
      </c>
      <c r="Q14" s="71">
        <f>IF(N14=0,0,O14/N14+1)</f>
        <v>1.3458740634622406</v>
      </c>
      <c r="T14" s="66"/>
      <c r="U14" s="66"/>
      <c r="V14" s="66"/>
    </row>
    <row r="15" spans="2:22" s="59" customFormat="1">
      <c r="B15" s="82" t="s">
        <v>131</v>
      </c>
      <c r="C15" s="68">
        <f>ROUND(F15/D15,2)</f>
        <v>318</v>
      </c>
      <c r="D15" s="68">
        <f>'проверка 2019'!I12+'проверка 2019'!J12</f>
        <v>951</v>
      </c>
      <c r="E15" s="68"/>
      <c r="F15" s="70">
        <f>'проверка 2019'!B18</f>
        <v>302418</v>
      </c>
      <c r="G15" s="61"/>
      <c r="H15" s="61"/>
      <c r="I15" s="78"/>
      <c r="J15" s="71"/>
      <c r="K15" s="71" t="s">
        <v>127</v>
      </c>
      <c r="L15" s="71">
        <f>L13-L14</f>
        <v>1716837</v>
      </c>
      <c r="M15" s="71">
        <f>M13-M14</f>
        <v>81</v>
      </c>
      <c r="N15" s="71">
        <f>N13-N14</f>
        <v>1173305.52</v>
      </c>
      <c r="O15" s="71">
        <f>O13-O14</f>
        <v>543531.48</v>
      </c>
      <c r="P15" s="71">
        <f>IF(M15=0,0,ROUND(N15/M15,2))</f>
        <v>14485.25</v>
      </c>
      <c r="Q15" s="71">
        <f>IF(N15=0,0,O15/N15+1)</f>
        <v>1.4632480379023529</v>
      </c>
      <c r="T15" s="66"/>
      <c r="U15" s="66"/>
      <c r="V15" s="66"/>
    </row>
    <row r="16" spans="2:22" s="59" customFormat="1" ht="46.5" customHeight="1" thickBot="1">
      <c r="B16" s="335" t="s">
        <v>132</v>
      </c>
      <c r="C16" s="75">
        <v>37.35</v>
      </c>
      <c r="D16" s="75">
        <f>ROUND(F16/C16,0)</f>
        <v>940</v>
      </c>
      <c r="E16" s="75"/>
      <c r="F16" s="76">
        <f>'проверка 2019'!B17</f>
        <v>35109</v>
      </c>
      <c r="G16" s="61"/>
      <c r="H16" s="61"/>
      <c r="I16" s="61"/>
      <c r="J16" s="68"/>
      <c r="K16" s="68"/>
      <c r="L16" s="68"/>
      <c r="M16" s="71"/>
      <c r="N16" s="71"/>
      <c r="O16" s="71"/>
      <c r="P16" s="71"/>
      <c r="Q16" s="71"/>
      <c r="T16" s="66"/>
      <c r="U16" s="66"/>
      <c r="V16" s="66"/>
    </row>
    <row r="17" spans="2:84" s="59" customFormat="1">
      <c r="C17" s="61"/>
      <c r="D17" s="61"/>
      <c r="E17" s="61"/>
      <c r="F17" s="61"/>
      <c r="G17" s="61"/>
      <c r="H17" s="61"/>
      <c r="I17" s="61"/>
      <c r="J17" s="284">
        <v>43435</v>
      </c>
      <c r="K17" s="68" t="s">
        <v>125</v>
      </c>
      <c r="L17" s="77"/>
      <c r="M17" s="77"/>
      <c r="N17" s="71">
        <f>L17-O17</f>
        <v>0</v>
      </c>
      <c r="O17" s="77"/>
      <c r="P17" s="207"/>
      <c r="Q17" s="71"/>
      <c r="T17" s="66"/>
      <c r="U17" s="66"/>
      <c r="V17" s="66"/>
    </row>
    <row r="18" spans="2:84" s="59" customFormat="1">
      <c r="C18" s="61"/>
      <c r="D18" s="61"/>
      <c r="E18" s="61"/>
      <c r="F18" s="61"/>
      <c r="G18" s="61"/>
      <c r="H18" s="61"/>
      <c r="I18" s="61"/>
      <c r="J18" s="71"/>
      <c r="K18" s="71" t="s">
        <v>236</v>
      </c>
      <c r="L18" s="71">
        <f>N18+O18</f>
        <v>0</v>
      </c>
      <c r="M18" s="77"/>
      <c r="N18" s="77"/>
      <c r="O18" s="77"/>
      <c r="P18" s="71">
        <f>IF(M18=0,0,ROUND(N18/M18,2))</f>
        <v>0</v>
      </c>
      <c r="Q18" s="71">
        <f>IF(N18=0,0,O18/N18+1)</f>
        <v>0</v>
      </c>
      <c r="T18" s="66"/>
      <c r="U18" s="66"/>
      <c r="V18" s="66"/>
    </row>
    <row r="19" spans="2:84" s="59" customFormat="1" ht="50.25" customHeight="1" thickBot="1">
      <c r="B19" s="510" t="s">
        <v>304</v>
      </c>
      <c r="C19" s="510"/>
      <c r="D19" s="510"/>
      <c r="E19" s="510"/>
      <c r="F19" s="510"/>
      <c r="G19" s="510"/>
      <c r="H19" s="510"/>
      <c r="I19" s="61"/>
      <c r="J19" s="71"/>
      <c r="K19" s="71" t="s">
        <v>127</v>
      </c>
      <c r="L19" s="71">
        <f>L17-L18</f>
        <v>0</v>
      </c>
      <c r="M19" s="71">
        <f>M17-M18</f>
        <v>0</v>
      </c>
      <c r="N19" s="71">
        <f>N17-N18</f>
        <v>0</v>
      </c>
      <c r="O19" s="71">
        <f>O17-O18</f>
        <v>0</v>
      </c>
      <c r="P19" s="71">
        <f>IF(M19=0,0,ROUND(N19/M19,2))</f>
        <v>0</v>
      </c>
      <c r="Q19" s="71">
        <f>IF(N19=0,0,O19/N19+1)</f>
        <v>0</v>
      </c>
      <c r="T19" s="66"/>
      <c r="U19" s="66"/>
      <c r="V19" s="66"/>
    </row>
    <row r="20" spans="2:84" s="59" customFormat="1" ht="15">
      <c r="B20" s="330" t="s">
        <v>92</v>
      </c>
      <c r="C20" s="511" t="s">
        <v>300</v>
      </c>
      <c r="D20" s="512"/>
      <c r="E20" s="513" t="s">
        <v>301</v>
      </c>
      <c r="F20" s="514"/>
      <c r="G20" s="61"/>
      <c r="H20" s="61"/>
      <c r="I20" s="61"/>
      <c r="J20" s="68"/>
      <c r="K20" s="68"/>
      <c r="L20" s="68"/>
      <c r="M20" s="71"/>
      <c r="N20" s="71"/>
      <c r="O20" s="71"/>
      <c r="P20" s="71"/>
      <c r="Q20" s="71"/>
      <c r="T20" s="66"/>
      <c r="U20" s="66"/>
      <c r="V20" s="66"/>
    </row>
    <row r="21" spans="2:84" s="59" customFormat="1">
      <c r="B21" s="331">
        <v>226</v>
      </c>
      <c r="C21" s="515">
        <f>IF(E21=0,0,ROUND(E21/('проверка 2019'!I12+'проверка 2019'!J12),2))</f>
        <v>0</v>
      </c>
      <c r="D21" s="516"/>
      <c r="E21" s="517"/>
      <c r="F21" s="518"/>
      <c r="G21" s="61"/>
      <c r="H21" s="61"/>
      <c r="I21" s="61"/>
      <c r="J21" s="283"/>
      <c r="K21" s="68" t="s">
        <v>125</v>
      </c>
      <c r="L21" s="77"/>
      <c r="M21" s="77"/>
      <c r="N21" s="71">
        <f>L21-O21</f>
        <v>0</v>
      </c>
      <c r="O21" s="77"/>
      <c r="P21" s="71"/>
      <c r="Q21" s="71"/>
      <c r="T21" s="66"/>
      <c r="U21" s="66"/>
      <c r="V21" s="66"/>
    </row>
    <row r="22" spans="2:84" s="59" customFormat="1" ht="13.5" thickBot="1">
      <c r="B22" s="332">
        <v>340</v>
      </c>
      <c r="C22" s="519">
        <f>IF(E22=0,0,ROUND(E22/('проверка 2019'!I12+'проверка 2019'!J12),2))</f>
        <v>0</v>
      </c>
      <c r="D22" s="520"/>
      <c r="E22" s="521"/>
      <c r="F22" s="522"/>
      <c r="G22" s="61"/>
      <c r="H22" s="61"/>
      <c r="I22" s="61"/>
      <c r="J22" s="87"/>
      <c r="K22" s="71" t="s">
        <v>236</v>
      </c>
      <c r="L22" s="71">
        <f>O22+N22</f>
        <v>0</v>
      </c>
      <c r="M22" s="77"/>
      <c r="N22" s="77"/>
      <c r="O22" s="77"/>
      <c r="P22" s="71">
        <f>IF(M22=0,0,ROUND(N22/M22,2))</f>
        <v>0</v>
      </c>
      <c r="Q22" s="71">
        <f>IF(N22=0,0,O22/N22+1)</f>
        <v>0</v>
      </c>
      <c r="T22" s="66"/>
      <c r="U22" s="66"/>
      <c r="V22" s="66"/>
    </row>
    <row r="23" spans="2:84" s="59" customFormat="1">
      <c r="C23" s="61"/>
      <c r="D23" s="61"/>
      <c r="E23" s="61"/>
      <c r="F23" s="61"/>
      <c r="G23" s="61"/>
      <c r="H23" s="61"/>
      <c r="I23" s="61"/>
      <c r="J23" s="87"/>
      <c r="K23" s="71" t="s">
        <v>127</v>
      </c>
      <c r="L23" s="71">
        <f>L21-L22</f>
        <v>0</v>
      </c>
      <c r="M23" s="71">
        <f>M21-M22</f>
        <v>0</v>
      </c>
      <c r="N23" s="71">
        <f>N21-N22</f>
        <v>0</v>
      </c>
      <c r="O23" s="71">
        <f>O21-O22</f>
        <v>0</v>
      </c>
      <c r="P23" s="71">
        <f>IF(M23=0,0,ROUND(N23/M23,2))</f>
        <v>0</v>
      </c>
      <c r="Q23" s="71">
        <f>IF(N23=0,0,O23/N23+1)</f>
        <v>0</v>
      </c>
      <c r="T23" s="66"/>
      <c r="U23" s="66"/>
      <c r="V23" s="66"/>
    </row>
    <row r="24" spans="2:84" s="59" customFormat="1">
      <c r="B24" s="84"/>
      <c r="H24" s="84"/>
      <c r="I24" s="61"/>
      <c r="J24" s="84"/>
      <c r="K24" s="84"/>
      <c r="L24" s="84"/>
      <c r="M24" s="84"/>
      <c r="N24" s="84"/>
      <c r="O24" s="84"/>
      <c r="P24" s="84"/>
      <c r="Q24" s="84"/>
      <c r="T24" s="66"/>
      <c r="U24" s="66"/>
      <c r="V24" s="66"/>
    </row>
    <row r="25" spans="2:84" s="59" customFormat="1">
      <c r="B25" s="84"/>
      <c r="C25" s="84"/>
      <c r="D25" s="84"/>
      <c r="E25" s="84"/>
      <c r="F25" s="84"/>
      <c r="G25" s="84"/>
      <c r="H25" s="84"/>
      <c r="I25" s="86"/>
      <c r="J25" s="84"/>
      <c r="K25" s="84"/>
      <c r="L25" s="84"/>
      <c r="M25" s="84"/>
      <c r="N25" s="84"/>
      <c r="O25" s="84"/>
      <c r="P25" s="84"/>
      <c r="Q25" s="84"/>
      <c r="T25" s="85"/>
      <c r="U25" s="66"/>
      <c r="V25" s="85"/>
    </row>
    <row r="26" spans="2:84" s="59" customFormat="1" ht="49.5" customHeight="1">
      <c r="B26" s="506" t="s">
        <v>133</v>
      </c>
      <c r="C26" s="506"/>
      <c r="D26" s="506"/>
      <c r="E26" s="506"/>
      <c r="F26" s="506"/>
      <c r="G26" s="506"/>
      <c r="H26" s="506"/>
      <c r="I26" s="86"/>
      <c r="J26" s="149"/>
      <c r="K26" s="149"/>
      <c r="L26" s="84"/>
      <c r="M26" s="84"/>
      <c r="N26" s="84"/>
      <c r="O26" s="84"/>
      <c r="P26" s="84"/>
      <c r="Q26" s="84"/>
      <c r="T26" s="66"/>
      <c r="U26" s="66"/>
      <c r="V26" s="66"/>
    </row>
    <row r="27" spans="2:84" s="59" customFormat="1" ht="13.5" thickBot="1">
      <c r="B27" s="35"/>
      <c r="C27" s="49"/>
      <c r="D27" s="49"/>
      <c r="E27" s="49"/>
      <c r="F27" s="49"/>
      <c r="G27" s="49"/>
      <c r="H27" s="49"/>
      <c r="I27" s="86"/>
      <c r="J27" s="149"/>
      <c r="K27" s="149"/>
      <c r="L27" s="84"/>
      <c r="M27" s="84"/>
      <c r="N27" s="84"/>
      <c r="O27" s="84"/>
      <c r="P27" s="84"/>
      <c r="Q27" s="84"/>
      <c r="T27" s="85"/>
      <c r="U27" s="66"/>
      <c r="V27" s="85"/>
    </row>
    <row r="28" spans="2:84" s="59" customFormat="1" ht="38.25">
      <c r="B28" s="63" t="s">
        <v>114</v>
      </c>
      <c r="C28" s="64" t="s">
        <v>115</v>
      </c>
      <c r="D28" s="64" t="s">
        <v>116</v>
      </c>
      <c r="E28" s="64" t="s">
        <v>117</v>
      </c>
      <c r="F28" s="64" t="s">
        <v>118</v>
      </c>
      <c r="G28" s="64" t="s">
        <v>94</v>
      </c>
      <c r="H28" s="65" t="s">
        <v>119</v>
      </c>
      <c r="I28" s="86"/>
      <c r="J28" s="149"/>
      <c r="K28" s="149"/>
      <c r="L28" s="84"/>
      <c r="M28" s="84"/>
      <c r="N28" s="84"/>
      <c r="O28" s="84"/>
      <c r="P28" s="84"/>
      <c r="Q28" s="84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2:84" s="84" customFormat="1">
      <c r="B29" s="67"/>
      <c r="C29" s="68"/>
      <c r="D29" s="68"/>
      <c r="E29" s="68"/>
      <c r="F29" s="68"/>
      <c r="G29" s="269"/>
      <c r="H29" s="270">
        <f>ROUND(G29*30.2%,2)</f>
        <v>0</v>
      </c>
      <c r="I29" s="86"/>
      <c r="J29" s="149"/>
      <c r="K29" s="149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</row>
    <row r="30" spans="2:84" s="84" customFormat="1">
      <c r="B30" s="67"/>
      <c r="C30" s="68"/>
      <c r="D30" s="68"/>
      <c r="E30" s="68"/>
      <c r="F30" s="68"/>
      <c r="G30" s="269"/>
      <c r="H30" s="270">
        <f>ROUND(G30*30.2%,2)</f>
        <v>0</v>
      </c>
      <c r="I30" s="49"/>
      <c r="J30" s="149"/>
      <c r="K30" s="149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</row>
    <row r="31" spans="2:84" s="84" customFormat="1" ht="13.5" thickBot="1">
      <c r="B31" s="72"/>
      <c r="C31" s="73"/>
      <c r="D31" s="74"/>
      <c r="E31" s="75"/>
      <c r="F31" s="75"/>
      <c r="G31" s="271"/>
      <c r="H31" s="272">
        <f>ROUND(G31*30.2%,2)</f>
        <v>0</v>
      </c>
      <c r="I31" s="49"/>
      <c r="J31" s="149"/>
      <c r="K31" s="149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</row>
    <row r="32" spans="2:84" s="84" customFormat="1" ht="13.5" thickBot="1">
      <c r="B32" s="61"/>
      <c r="C32" s="61"/>
      <c r="D32" s="61"/>
      <c r="E32" s="61"/>
      <c r="F32" s="61"/>
      <c r="G32" s="273">
        <f>SUM(G29:G31)</f>
        <v>0</v>
      </c>
      <c r="H32" s="274">
        <f>SUM(H29:H31)</f>
        <v>0</v>
      </c>
      <c r="I32" s="49"/>
      <c r="J32" s="149"/>
      <c r="K32" s="149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</row>
    <row r="33" spans="2:84" s="84" customFormat="1">
      <c r="B33" s="333"/>
      <c r="C33" s="333"/>
      <c r="D33" s="333"/>
      <c r="E33" s="333"/>
      <c r="F33" s="333"/>
      <c r="G33" s="334"/>
      <c r="H33" s="334"/>
      <c r="I33" s="140"/>
      <c r="J33" s="149"/>
      <c r="K33" s="149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</row>
    <row r="34" spans="2:84" s="84" customFormat="1" ht="13.5" thickBot="1">
      <c r="B34" s="333"/>
      <c r="C34" s="333"/>
      <c r="D34" s="333"/>
      <c r="E34" s="333"/>
      <c r="F34" s="333"/>
      <c r="G34" s="334"/>
      <c r="H34" s="334"/>
      <c r="I34" s="140"/>
      <c r="J34" s="149"/>
      <c r="K34" s="149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</row>
    <row r="35" spans="2:84" s="84" customFormat="1" ht="89.25">
      <c r="B35" s="63" t="s">
        <v>140</v>
      </c>
      <c r="C35" s="64" t="s">
        <v>141</v>
      </c>
      <c r="D35" s="64" t="s">
        <v>117</v>
      </c>
      <c r="E35" s="65" t="s">
        <v>142</v>
      </c>
      <c r="F35" s="333"/>
      <c r="G35" s="334"/>
      <c r="H35" s="334"/>
      <c r="I35" s="140"/>
      <c r="J35" s="149"/>
      <c r="K35" s="149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</row>
    <row r="36" spans="2:84" s="84" customFormat="1">
      <c r="B36" s="67"/>
      <c r="C36" s="68"/>
      <c r="D36" s="68"/>
      <c r="E36" s="94"/>
      <c r="F36" s="333"/>
      <c r="G36" s="334"/>
      <c r="H36" s="334"/>
      <c r="I36" s="140"/>
      <c r="J36" s="149"/>
      <c r="K36" s="149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</row>
    <row r="37" spans="2:84" s="84" customFormat="1" ht="13.5" thickBot="1">
      <c r="B37" s="83">
        <v>50</v>
      </c>
      <c r="C37" s="75">
        <v>5</v>
      </c>
      <c r="D37" s="75">
        <v>12</v>
      </c>
      <c r="E37" s="97">
        <f>B37*C37*D37</f>
        <v>3000</v>
      </c>
      <c r="F37" s="333"/>
      <c r="G37" s="334"/>
      <c r="H37" s="334"/>
      <c r="I37" s="140"/>
      <c r="J37" s="524" t="s">
        <v>134</v>
      </c>
      <c r="K37" s="525"/>
      <c r="L37" s="71" t="s">
        <v>121</v>
      </c>
      <c r="M37" s="71" t="s">
        <v>122</v>
      </c>
      <c r="N37" s="71" t="s">
        <v>123</v>
      </c>
      <c r="O37" s="71" t="s">
        <v>124</v>
      </c>
      <c r="P37" s="285"/>
      <c r="Q37" s="2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</row>
    <row r="38" spans="2:84" s="84" customFormat="1">
      <c r="B38" s="333"/>
      <c r="C38" s="333"/>
      <c r="D38" s="333"/>
      <c r="E38" s="333"/>
      <c r="F38" s="333"/>
      <c r="G38" s="334"/>
      <c r="H38" s="334"/>
      <c r="I38" s="140"/>
      <c r="J38" s="283">
        <v>43466</v>
      </c>
      <c r="K38" s="68" t="s">
        <v>125</v>
      </c>
      <c r="L38" s="88">
        <v>460894.83</v>
      </c>
      <c r="M38" s="77">
        <v>47.2</v>
      </c>
      <c r="N38" s="71">
        <f>L38-O38</f>
        <v>460894.83</v>
      </c>
      <c r="O38" s="77"/>
      <c r="P38" s="71"/>
      <c r="Q38" s="71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</row>
    <row r="39" spans="2:84" s="84" customFormat="1">
      <c r="B39" s="333"/>
      <c r="C39" s="333"/>
      <c r="D39" s="333"/>
      <c r="E39" s="333"/>
      <c r="F39" s="333"/>
      <c r="G39" s="334"/>
      <c r="H39" s="334"/>
      <c r="I39" s="140"/>
      <c r="J39" s="87"/>
      <c r="K39" s="71" t="s">
        <v>236</v>
      </c>
      <c r="L39" s="71">
        <f>O39+N39</f>
        <v>0</v>
      </c>
      <c r="M39" s="77"/>
      <c r="N39" s="77"/>
      <c r="O39" s="77"/>
      <c r="P39" s="71">
        <f>IF(M39=0,0,ROUND(N39/M39,2))</f>
        <v>0</v>
      </c>
      <c r="Q39" s="71">
        <f>IF(N39=0,0,O39/N39+1)</f>
        <v>0</v>
      </c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</row>
    <row r="40" spans="2:84" s="84" customFormat="1">
      <c r="B40" s="333"/>
      <c r="C40" s="333"/>
      <c r="D40" s="333"/>
      <c r="E40" s="333"/>
      <c r="F40" s="333"/>
      <c r="G40" s="334"/>
      <c r="H40" s="334"/>
      <c r="I40" s="140"/>
      <c r="J40" s="87"/>
      <c r="K40" s="71" t="s">
        <v>127</v>
      </c>
      <c r="L40" s="71">
        <f>L38-L39</f>
        <v>460894.83</v>
      </c>
      <c r="M40" s="71">
        <f>M38-M39</f>
        <v>47.2</v>
      </c>
      <c r="N40" s="71">
        <f>N38-N39</f>
        <v>460894.83</v>
      </c>
      <c r="O40" s="71">
        <f>O38-O39</f>
        <v>0</v>
      </c>
      <c r="P40" s="71">
        <f>IF(M40=0,0,ROUND(N40/M40,2))</f>
        <v>9764.7199999999993</v>
      </c>
      <c r="Q40" s="71">
        <f>IF(N40=0,0,O40/N40+1)</f>
        <v>1</v>
      </c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</row>
    <row r="41" spans="2:84" s="84" customFormat="1">
      <c r="B41" s="333"/>
      <c r="C41" s="333"/>
      <c r="D41" s="333"/>
      <c r="E41" s="333"/>
      <c r="F41" s="333"/>
      <c r="G41" s="334"/>
      <c r="H41" s="334"/>
      <c r="I41" s="140"/>
      <c r="J41" s="526" t="s">
        <v>134</v>
      </c>
      <c r="K41" s="526"/>
      <c r="L41" s="71" t="s">
        <v>121</v>
      </c>
      <c r="M41" s="71" t="s">
        <v>122</v>
      </c>
      <c r="N41" s="71" t="s">
        <v>123</v>
      </c>
      <c r="O41" s="71" t="s">
        <v>124</v>
      </c>
      <c r="P41" s="285"/>
      <c r="Q41" s="2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</row>
    <row r="42" spans="2:84" s="84" customFormat="1">
      <c r="B42" s="333"/>
      <c r="C42" s="333"/>
      <c r="D42" s="333"/>
      <c r="E42" s="333"/>
      <c r="F42" s="333"/>
      <c r="G42" s="334"/>
      <c r="H42" s="334"/>
      <c r="I42" s="140"/>
      <c r="J42" s="283"/>
      <c r="K42" s="68" t="s">
        <v>125</v>
      </c>
      <c r="L42" s="88">
        <v>475758.84</v>
      </c>
      <c r="M42" s="77">
        <v>47.2</v>
      </c>
      <c r="N42" s="395">
        <f>L42-O42</f>
        <v>460894.83</v>
      </c>
      <c r="O42" s="88">
        <f>O38+R42</f>
        <v>14864.010000000009</v>
      </c>
      <c r="P42" s="71"/>
      <c r="Q42" s="71"/>
      <c r="R42" s="381">
        <f>L42-L38</f>
        <v>14864.010000000009</v>
      </c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</row>
    <row r="43" spans="2:84" s="84" customFormat="1">
      <c r="B43" s="333"/>
      <c r="C43" s="333"/>
      <c r="D43" s="333"/>
      <c r="E43" s="333"/>
      <c r="F43" s="333"/>
      <c r="G43" s="334"/>
      <c r="H43" s="334"/>
      <c r="I43" s="140"/>
      <c r="J43" s="87"/>
      <c r="K43" s="71" t="s">
        <v>236</v>
      </c>
      <c r="L43" s="71">
        <f>O43+N43</f>
        <v>0</v>
      </c>
      <c r="M43" s="77"/>
      <c r="N43" s="77"/>
      <c r="O43" s="77"/>
      <c r="P43" s="71">
        <f>IF(M43=0,0,ROUND(N43/M43,2))</f>
        <v>0</v>
      </c>
      <c r="Q43" s="71">
        <f>IF(N43=0,0,O43/N43+1)</f>
        <v>0</v>
      </c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</row>
    <row r="44" spans="2:84" s="84" customFormat="1">
      <c r="B44" s="333"/>
      <c r="C44" s="61"/>
      <c r="D44" s="61"/>
      <c r="E44" s="61"/>
      <c r="F44" s="61"/>
      <c r="G44" s="61"/>
      <c r="H44" s="333"/>
      <c r="I44" s="140"/>
      <c r="J44" s="87"/>
      <c r="K44" s="71" t="s">
        <v>127</v>
      </c>
      <c r="L44" s="71">
        <f>L42-L43</f>
        <v>475758.84</v>
      </c>
      <c r="M44" s="71">
        <f>M42-M43</f>
        <v>47.2</v>
      </c>
      <c r="N44" s="71">
        <f>N42-N43</f>
        <v>460894.83</v>
      </c>
      <c r="O44" s="71">
        <f>O42-O43</f>
        <v>14864.010000000009</v>
      </c>
      <c r="P44" s="71">
        <f>IF(M44=0,0,ROUND(N44/M44,2))</f>
        <v>9764.7199999999993</v>
      </c>
      <c r="Q44" s="71">
        <f>IF(N44=0,0,O44/N44+1)</f>
        <v>1.0322503292128489</v>
      </c>
    </row>
    <row r="45" spans="2:84" s="84" customFormat="1">
      <c r="B45" s="91" t="s">
        <v>275</v>
      </c>
      <c r="C45" s="150"/>
      <c r="D45" s="151"/>
      <c r="E45" s="91" t="s">
        <v>393</v>
      </c>
      <c r="F45" s="93"/>
      <c r="G45" s="93"/>
      <c r="H45" s="333"/>
      <c r="I45" s="140"/>
      <c r="J45" s="526" t="s">
        <v>134</v>
      </c>
      <c r="K45" s="526"/>
      <c r="L45" s="71" t="s">
        <v>121</v>
      </c>
      <c r="M45" s="71" t="s">
        <v>122</v>
      </c>
      <c r="N45" s="71" t="s">
        <v>123</v>
      </c>
      <c r="O45" s="71" t="s">
        <v>124</v>
      </c>
      <c r="P45" s="285"/>
      <c r="Q45" s="286"/>
    </row>
    <row r="46" spans="2:84" s="84" customFormat="1">
      <c r="H46" s="333"/>
      <c r="I46" s="140"/>
      <c r="J46" s="283"/>
      <c r="K46" s="68" t="s">
        <v>125</v>
      </c>
      <c r="L46" s="88"/>
      <c r="M46" s="77"/>
      <c r="N46" s="71">
        <f>L46-O46</f>
        <v>0</v>
      </c>
      <c r="O46" s="77"/>
      <c r="P46" s="71"/>
      <c r="Q46" s="71"/>
    </row>
    <row r="47" spans="2:84" s="84" customFormat="1">
      <c r="H47" s="333"/>
      <c r="I47" s="140"/>
      <c r="J47" s="87"/>
      <c r="K47" s="71" t="s">
        <v>126</v>
      </c>
      <c r="L47" s="71">
        <f>O47+N47</f>
        <v>0</v>
      </c>
      <c r="M47" s="77"/>
      <c r="N47" s="77"/>
      <c r="O47" s="77"/>
      <c r="P47" s="71">
        <f>IF(M47=0,0,ROUND(N47/M47,2))</f>
        <v>0</v>
      </c>
      <c r="Q47" s="71">
        <f>IF(N47=0,0,O47/N47+1)</f>
        <v>0</v>
      </c>
    </row>
    <row r="48" spans="2:84" s="84" customFormat="1">
      <c r="B48" s="84" t="s">
        <v>239</v>
      </c>
      <c r="C48" s="150"/>
      <c r="D48" s="150"/>
      <c r="E48" s="84" t="s">
        <v>394</v>
      </c>
      <c r="F48" s="93"/>
      <c r="G48" s="93"/>
      <c r="H48" s="333"/>
      <c r="I48" s="140"/>
      <c r="J48" s="87"/>
      <c r="K48" s="71" t="s">
        <v>127</v>
      </c>
      <c r="L48" s="71">
        <f>L46-L47</f>
        <v>0</v>
      </c>
      <c r="M48" s="71">
        <f>M46-M47</f>
        <v>0</v>
      </c>
      <c r="N48" s="71">
        <f>N46-N47</f>
        <v>0</v>
      </c>
      <c r="O48" s="71">
        <f>O46-O47</f>
        <v>0</v>
      </c>
      <c r="P48" s="71">
        <f>IF(M48=0,0,ROUND(N48/M48,2))</f>
        <v>0</v>
      </c>
      <c r="Q48" s="71">
        <f>IF(N48=0,0,O48/N48+1)</f>
        <v>0</v>
      </c>
    </row>
    <row r="49" spans="2:31" s="84" customFormat="1">
      <c r="B49" s="333"/>
      <c r="H49" s="333"/>
      <c r="I49" s="140"/>
      <c r="J49" s="89"/>
      <c r="K49" s="90"/>
      <c r="L49" s="90"/>
      <c r="M49" s="90"/>
      <c r="N49" s="90"/>
      <c r="O49" s="90"/>
      <c r="P49" s="90"/>
      <c r="Q49" s="90"/>
    </row>
    <row r="50" spans="2:31" s="84" customFormat="1">
      <c r="B50" s="333"/>
      <c r="C50" s="333"/>
      <c r="D50" s="333"/>
      <c r="E50" s="333"/>
      <c r="F50" s="333"/>
      <c r="G50" s="333"/>
      <c r="H50" s="333"/>
      <c r="I50" s="140"/>
      <c r="J50" s="89"/>
      <c r="K50" s="90"/>
      <c r="L50" s="90"/>
      <c r="M50" s="90"/>
      <c r="N50" s="90"/>
      <c r="O50" s="90"/>
      <c r="P50" s="90"/>
      <c r="Q50" s="90"/>
    </row>
    <row r="51" spans="2:31" s="84" customFormat="1">
      <c r="B51" s="333"/>
      <c r="C51" s="333"/>
      <c r="D51" s="333"/>
      <c r="E51" s="333"/>
      <c r="F51" s="333"/>
      <c r="G51" s="333"/>
      <c r="H51" s="333"/>
      <c r="I51" s="140"/>
      <c r="J51" s="89"/>
      <c r="K51" s="90"/>
      <c r="L51" s="90"/>
      <c r="M51" s="90"/>
      <c r="N51" s="90"/>
      <c r="O51" s="90"/>
      <c r="P51" s="90"/>
      <c r="Q51" s="9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2:31" ht="18.75">
      <c r="B52" s="57"/>
      <c r="C52" s="57"/>
      <c r="D52" s="57"/>
      <c r="E52" s="57"/>
      <c r="F52" s="57"/>
      <c r="G52" s="57"/>
      <c r="H52" s="57"/>
      <c r="J52" s="89"/>
      <c r="K52" s="90"/>
      <c r="L52" s="90"/>
      <c r="M52" s="90"/>
      <c r="N52" s="90"/>
      <c r="O52" s="90"/>
      <c r="P52" s="90"/>
      <c r="Q52" s="90"/>
    </row>
    <row r="53" spans="2:31">
      <c r="B53" s="49"/>
      <c r="G53" s="507" t="s">
        <v>135</v>
      </c>
      <c r="H53" s="507"/>
      <c r="J53" s="89"/>
      <c r="K53" s="90"/>
      <c r="L53" s="90"/>
      <c r="M53" s="90"/>
      <c r="N53" s="90"/>
      <c r="O53" s="90"/>
      <c r="P53" s="90"/>
      <c r="Q53" s="90"/>
    </row>
    <row r="54" spans="2:31" ht="48" customHeight="1">
      <c r="B54" s="509" t="s">
        <v>237</v>
      </c>
      <c r="C54" s="509"/>
      <c r="D54" s="509"/>
      <c r="E54" s="509"/>
      <c r="F54" s="509"/>
      <c r="G54" s="509"/>
      <c r="H54" s="509"/>
      <c r="J54" s="89"/>
      <c r="K54" s="90"/>
      <c r="L54" s="90"/>
      <c r="M54" s="90"/>
      <c r="N54" s="90"/>
      <c r="O54" s="90"/>
      <c r="P54" s="90"/>
      <c r="Q54" s="90"/>
    </row>
    <row r="55" spans="2:31" ht="54.75" customHeight="1" thickBot="1">
      <c r="B55" s="505" t="s">
        <v>136</v>
      </c>
      <c r="C55" s="505"/>
      <c r="D55" s="505"/>
      <c r="E55" s="505"/>
      <c r="F55" s="505"/>
      <c r="G55" s="505"/>
      <c r="H55" s="505"/>
      <c r="K55" s="95"/>
    </row>
    <row r="56" spans="2:31" ht="38.25">
      <c r="B56" s="63" t="s">
        <v>137</v>
      </c>
      <c r="C56" s="64" t="s">
        <v>115</v>
      </c>
      <c r="D56" s="64" t="s">
        <v>116</v>
      </c>
      <c r="E56" s="64" t="s">
        <v>117</v>
      </c>
      <c r="F56" s="64" t="s">
        <v>118</v>
      </c>
      <c r="G56" s="64" t="s">
        <v>94</v>
      </c>
      <c r="H56" s="65" t="s">
        <v>119</v>
      </c>
      <c r="K56" s="95"/>
    </row>
    <row r="57" spans="2:31">
      <c r="B57" s="67">
        <f>M11</f>
        <v>81</v>
      </c>
      <c r="C57" s="68">
        <f>P11</f>
        <v>14485.25</v>
      </c>
      <c r="D57" s="68">
        <f>Q11</f>
        <v>1.6886096299964564</v>
      </c>
      <c r="E57" s="68">
        <v>8</v>
      </c>
      <c r="F57" s="68">
        <v>1</v>
      </c>
      <c r="G57" s="69">
        <f>ROUND((B57*C57*D57*E57*F57),2)</f>
        <v>15850036.35</v>
      </c>
      <c r="H57" s="70">
        <f>ROUND(G57*30.2%,2)</f>
        <v>4786710.9800000004</v>
      </c>
      <c r="K57" s="95"/>
    </row>
    <row r="58" spans="2:31">
      <c r="B58" s="67">
        <f>M15</f>
        <v>81</v>
      </c>
      <c r="C58" s="68">
        <f>P15</f>
        <v>14485.25</v>
      </c>
      <c r="D58" s="68">
        <f>Q15</f>
        <v>1.4632480379023529</v>
      </c>
      <c r="E58" s="68">
        <v>4</v>
      </c>
      <c r="F58" s="68">
        <v>1</v>
      </c>
      <c r="G58" s="69">
        <f>ROUND((B58*C58*D58*E58*F58),2)</f>
        <v>6867346.4199999999</v>
      </c>
      <c r="H58" s="70">
        <f>ROUND(G58*30.2%,2)</f>
        <v>2073938.62</v>
      </c>
      <c r="K58" s="95"/>
    </row>
    <row r="59" spans="2:31">
      <c r="B59" s="67">
        <f>M19</f>
        <v>0</v>
      </c>
      <c r="C59" s="68">
        <f>P19</f>
        <v>0</v>
      </c>
      <c r="D59" s="68">
        <f>Q19</f>
        <v>0</v>
      </c>
      <c r="E59" s="68"/>
      <c r="F59" s="68">
        <v>1</v>
      </c>
      <c r="G59" s="338">
        <f>ROUND((B59*C59*D59*E59*F59),2)</f>
        <v>0</v>
      </c>
      <c r="H59" s="70">
        <f>ROUND(G59*30.2%,2)</f>
        <v>0</v>
      </c>
      <c r="K59" s="95"/>
    </row>
    <row r="60" spans="2:31" ht="13.5" thickBot="1">
      <c r="B60" s="72">
        <f>M23</f>
        <v>0</v>
      </c>
      <c r="C60" s="74">
        <f>P23</f>
        <v>0</v>
      </c>
      <c r="D60" s="74">
        <f>Q23</f>
        <v>0</v>
      </c>
      <c r="E60" s="74"/>
      <c r="F60" s="74">
        <v>1</v>
      </c>
      <c r="G60" s="341">
        <f>ROUND((B60*C60*D60*E60*F60),2)</f>
        <v>0</v>
      </c>
      <c r="H60" s="342">
        <f>ROUND(G60*30.2%,2)</f>
        <v>0</v>
      </c>
    </row>
    <row r="61" spans="2:31" ht="13.5" thickBot="1">
      <c r="B61" s="61"/>
      <c r="C61" s="61"/>
      <c r="D61" s="61"/>
      <c r="E61" s="61"/>
      <c r="F61" s="61"/>
      <c r="G61" s="287">
        <f>SUM(G57:G60)</f>
        <v>22717382.77</v>
      </c>
      <c r="H61" s="288">
        <f>SUM(H57:H60)</f>
        <v>6860649.6000000006</v>
      </c>
    </row>
    <row r="62" spans="2:31">
      <c r="B62" s="98"/>
      <c r="C62" s="99"/>
      <c r="D62" s="98"/>
      <c r="E62" s="98"/>
      <c r="F62" s="98"/>
      <c r="G62" s="98"/>
      <c r="H62" s="98"/>
    </row>
    <row r="63" spans="2:31">
      <c r="B63" s="98"/>
      <c r="C63" s="99"/>
      <c r="D63" s="98"/>
      <c r="E63" s="98"/>
      <c r="F63" s="98"/>
      <c r="G63" s="98"/>
      <c r="H63" s="98"/>
    </row>
    <row r="64" spans="2:31" ht="50.25" customHeight="1" thickBot="1">
      <c r="B64" s="510" t="s">
        <v>304</v>
      </c>
      <c r="C64" s="510"/>
      <c r="D64" s="510"/>
      <c r="E64" s="510"/>
      <c r="F64" s="510"/>
      <c r="G64" s="510"/>
      <c r="H64" s="510"/>
    </row>
    <row r="65" spans="1:84" ht="15">
      <c r="B65" s="330" t="s">
        <v>92</v>
      </c>
      <c r="C65" s="511" t="s">
        <v>300</v>
      </c>
      <c r="D65" s="512"/>
      <c r="E65" s="513" t="s">
        <v>301</v>
      </c>
      <c r="F65" s="514"/>
      <c r="G65" s="61"/>
      <c r="H65" s="61"/>
    </row>
    <row r="66" spans="1:84">
      <c r="B66" s="331">
        <v>226</v>
      </c>
      <c r="C66" s="515">
        <f>IF(E66=0,0,ROUND(E66/('проверка 2019'!I12+'проверка 2019'!J12),2))</f>
        <v>0</v>
      </c>
      <c r="D66" s="516"/>
      <c r="E66" s="517">
        <f>'проверка 2019'!B19-E21</f>
        <v>0</v>
      </c>
      <c r="F66" s="518"/>
      <c r="G66" s="61"/>
      <c r="H66" s="61"/>
    </row>
    <row r="67" spans="1:84" ht="13.5" thickBot="1">
      <c r="B67" s="332">
        <v>340</v>
      </c>
      <c r="C67" s="519">
        <f>IF(E67=0,0,ROUND(E67/('проверка 2019'!I12+'проверка 2019'!J12),2))</f>
        <v>0</v>
      </c>
      <c r="D67" s="520"/>
      <c r="E67" s="521">
        <f>'проверка 2019'!B20-E22</f>
        <v>0</v>
      </c>
      <c r="F67" s="522"/>
      <c r="G67" s="61"/>
      <c r="H67" s="61"/>
    </row>
    <row r="68" spans="1:84">
      <c r="B68" s="98"/>
      <c r="C68" s="99"/>
      <c r="D68" s="98"/>
      <c r="E68" s="98"/>
      <c r="F68" s="98"/>
      <c r="G68" s="98"/>
      <c r="H68" s="98"/>
    </row>
    <row r="69" spans="1:84">
      <c r="B69" s="98"/>
      <c r="C69" s="99"/>
      <c r="D69" s="98"/>
      <c r="E69" s="98"/>
      <c r="F69" s="98"/>
      <c r="G69" s="98"/>
      <c r="H69" s="98"/>
    </row>
    <row r="70" spans="1:84">
      <c r="B70" s="98"/>
      <c r="C70" s="99"/>
      <c r="D70" s="98"/>
      <c r="E70" s="98"/>
      <c r="F70" s="98"/>
      <c r="G70" s="98"/>
      <c r="H70" s="98"/>
    </row>
    <row r="71" spans="1:84">
      <c r="B71" s="98"/>
      <c r="C71" s="99"/>
      <c r="D71" s="98"/>
      <c r="E71" s="98"/>
      <c r="F71" s="98"/>
      <c r="G71" s="98"/>
      <c r="H71" s="98"/>
    </row>
    <row r="72" spans="1:84" s="49" customFormat="1" ht="52.5" customHeight="1" thickBot="1">
      <c r="A72" s="35"/>
      <c r="B72" s="505" t="s">
        <v>138</v>
      </c>
      <c r="C72" s="505"/>
      <c r="D72" s="505"/>
      <c r="E72" s="505"/>
      <c r="F72" s="505"/>
      <c r="G72" s="505"/>
      <c r="H72" s="50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</row>
    <row r="73" spans="1:84" s="49" customFormat="1" ht="38.25">
      <c r="A73" s="35"/>
      <c r="B73" s="63" t="s">
        <v>137</v>
      </c>
      <c r="C73" s="64" t="s">
        <v>115</v>
      </c>
      <c r="D73" s="64" t="s">
        <v>116</v>
      </c>
      <c r="E73" s="64" t="s">
        <v>117</v>
      </c>
      <c r="F73" s="64" t="s">
        <v>118</v>
      </c>
      <c r="G73" s="64" t="s">
        <v>94</v>
      </c>
      <c r="H73" s="65" t="s">
        <v>119</v>
      </c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</row>
    <row r="74" spans="1:84" s="49" customFormat="1">
      <c r="A74" s="59"/>
      <c r="B74" s="67">
        <f>M40</f>
        <v>47.2</v>
      </c>
      <c r="C74" s="68">
        <f>P40</f>
        <v>9764.7199999999993</v>
      </c>
      <c r="D74" s="68">
        <f>Q40</f>
        <v>1</v>
      </c>
      <c r="E74" s="68">
        <v>8</v>
      </c>
      <c r="F74" s="68">
        <v>1</v>
      </c>
      <c r="G74" s="377">
        <f>ROUND((B74*C74*D74*E74*F74),2)+0.72</f>
        <v>3687158.99</v>
      </c>
      <c r="H74" s="70">
        <f>ROUND(G74*30.2%,2)-0.63</f>
        <v>1113521.3800000001</v>
      </c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</row>
    <row r="75" spans="1:84" s="49" customFormat="1">
      <c r="A75" s="59"/>
      <c r="B75" s="67">
        <f>M44</f>
        <v>47.2</v>
      </c>
      <c r="C75" s="68">
        <f>P44</f>
        <v>9764.7199999999993</v>
      </c>
      <c r="D75" s="68">
        <f>Q44</f>
        <v>1.0322503292128489</v>
      </c>
      <c r="E75" s="68">
        <v>4</v>
      </c>
      <c r="F75" s="68">
        <v>1</v>
      </c>
      <c r="G75" s="377">
        <f>ROUND((B75*C75*D75*E75*F75),2)</f>
        <v>1903035.17</v>
      </c>
      <c r="H75" s="70">
        <f>ROUND(G75*30.2%,2)</f>
        <v>574716.62</v>
      </c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</row>
    <row r="76" spans="1:84" s="49" customFormat="1">
      <c r="A76" s="59"/>
      <c r="B76" s="67">
        <f>M48</f>
        <v>0</v>
      </c>
      <c r="C76" s="68">
        <f>P48</f>
        <v>0</v>
      </c>
      <c r="D76" s="68">
        <f>Q48</f>
        <v>0</v>
      </c>
      <c r="E76" s="68"/>
      <c r="F76" s="68"/>
      <c r="G76" s="377">
        <f>ROUND((B76*C76*D76*E76*F76),2)</f>
        <v>0</v>
      </c>
      <c r="H76" s="70">
        <f>ROUND(G76*30.2%,2)</f>
        <v>0</v>
      </c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</row>
    <row r="77" spans="1:84" s="49" customFormat="1">
      <c r="A77" s="59"/>
      <c r="B77" s="527" t="s">
        <v>362</v>
      </c>
      <c r="C77" s="528"/>
      <c r="D77" s="529"/>
      <c r="E77" s="379"/>
      <c r="F77" s="379"/>
      <c r="G77" s="377">
        <f>2699.17*12</f>
        <v>32390.04</v>
      </c>
      <c r="H77" s="380">
        <f>ROUND(G77*30.2%,0)</f>
        <v>9782</v>
      </c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</row>
    <row r="78" spans="1:84" s="49" customFormat="1" ht="13.5" thickBot="1">
      <c r="A78" s="59"/>
      <c r="B78" s="530" t="s">
        <v>363</v>
      </c>
      <c r="C78" s="531"/>
      <c r="D78" s="532"/>
      <c r="E78" s="75"/>
      <c r="F78" s="75"/>
      <c r="G78" s="376">
        <f>51284.15*12</f>
        <v>615409.80000000005</v>
      </c>
      <c r="H78" s="76">
        <f>ROUND(G78*30.2%,0)</f>
        <v>185854</v>
      </c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</row>
    <row r="79" spans="1:84" s="49" customFormat="1" ht="13.5" thickBot="1">
      <c r="A79" s="59"/>
      <c r="B79" s="61"/>
      <c r="C79" s="61"/>
      <c r="D79" s="61"/>
      <c r="E79" s="61"/>
      <c r="F79" s="61"/>
      <c r="G79" s="287">
        <f>SUM(G74:G78)</f>
        <v>6237994</v>
      </c>
      <c r="H79" s="288">
        <f>SUM(H74:H78)</f>
        <v>1883874</v>
      </c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1:84" s="49" customFormat="1">
      <c r="A80" s="59"/>
      <c r="B80" s="98"/>
      <c r="C80" s="99"/>
      <c r="D80" s="98"/>
      <c r="E80" s="98"/>
      <c r="F80" s="98"/>
      <c r="G80" s="98"/>
      <c r="H80" s="98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</row>
    <row r="81" spans="1:84" s="49" customFormat="1">
      <c r="A81" s="59"/>
      <c r="B81" s="98"/>
      <c r="C81" s="99"/>
      <c r="D81" s="98"/>
      <c r="E81" s="98"/>
      <c r="F81" s="98"/>
      <c r="G81" s="98"/>
      <c r="H81" s="98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</row>
    <row r="82" spans="1:84" s="49" customFormat="1" ht="47.25" customHeight="1" thickBot="1">
      <c r="A82" s="59"/>
      <c r="B82" s="510" t="s">
        <v>305</v>
      </c>
      <c r="C82" s="510"/>
      <c r="D82" s="510"/>
      <c r="E82" s="510"/>
      <c r="F82" s="510"/>
      <c r="G82" s="510"/>
      <c r="H82" s="510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</row>
    <row r="83" spans="1:84" s="49" customFormat="1" ht="15">
      <c r="A83" s="59"/>
      <c r="B83" s="330" t="s">
        <v>92</v>
      </c>
      <c r="C83" s="511" t="s">
        <v>300</v>
      </c>
      <c r="D83" s="512"/>
      <c r="E83" s="513" t="s">
        <v>301</v>
      </c>
      <c r="F83" s="514"/>
      <c r="G83" s="61"/>
      <c r="H83" s="61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</row>
    <row r="84" spans="1:84" s="49" customFormat="1">
      <c r="A84" s="59"/>
      <c r="B84" s="331">
        <v>340</v>
      </c>
      <c r="C84" s="515">
        <f>IF(E84=0,0,ROUND(E84/('проверка 2019'!I12+'проверка 2019'!J12),2))</f>
        <v>0</v>
      </c>
      <c r="D84" s="516"/>
      <c r="E84" s="517">
        <f>'проверка 2019'!B34</f>
        <v>0</v>
      </c>
      <c r="F84" s="518"/>
      <c r="G84" s="61"/>
      <c r="H84" s="61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</row>
    <row r="85" spans="1:84" s="49" customFormat="1" ht="13.5" thickBot="1">
      <c r="A85" s="59"/>
      <c r="B85" s="332"/>
      <c r="C85" s="519">
        <f>IF(E85=0,0,ROUND(E85/('проверка 2019'!I12+'проверка 2019'!J12),2))</f>
        <v>0</v>
      </c>
      <c r="D85" s="520"/>
      <c r="E85" s="521">
        <f>'проверка 2019'!B35</f>
        <v>0</v>
      </c>
      <c r="F85" s="522"/>
      <c r="G85" s="61"/>
      <c r="H85" s="61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</row>
    <row r="86" spans="1:84" s="49" customFormat="1">
      <c r="A86" s="59"/>
      <c r="B86" s="98"/>
      <c r="C86" s="99"/>
      <c r="D86" s="98"/>
      <c r="E86" s="98"/>
      <c r="F86" s="98"/>
      <c r="G86" s="98" t="s">
        <v>139</v>
      </c>
      <c r="H86" s="98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</row>
    <row r="87" spans="1:84" s="49" customFormat="1" ht="13.5" thickBot="1">
      <c r="A87" s="59"/>
      <c r="B87" s="98"/>
      <c r="C87" s="99"/>
      <c r="D87" s="98"/>
      <c r="E87" s="98"/>
      <c r="F87" s="98"/>
      <c r="G87" s="98"/>
      <c r="H87" s="98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1:84" s="49" customFormat="1" ht="89.25">
      <c r="A88" s="59"/>
      <c r="B88" s="63" t="s">
        <v>140</v>
      </c>
      <c r="C88" s="64" t="s">
        <v>141</v>
      </c>
      <c r="D88" s="64" t="s">
        <v>117</v>
      </c>
      <c r="E88" s="65" t="s">
        <v>142</v>
      </c>
      <c r="F88" s="61"/>
      <c r="G88" s="61"/>
      <c r="H88" s="61" t="s">
        <v>139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</row>
    <row r="89" spans="1:84" s="49" customFormat="1" hidden="1">
      <c r="A89" s="59"/>
      <c r="B89" s="67"/>
      <c r="C89" s="68"/>
      <c r="D89" s="68"/>
      <c r="E89" s="94"/>
      <c r="F89" s="61"/>
      <c r="G89" s="61"/>
      <c r="H89" s="61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</row>
    <row r="90" spans="1:84" s="49" customFormat="1" ht="13.5" thickBot="1">
      <c r="A90" s="59"/>
      <c r="B90" s="83">
        <v>50</v>
      </c>
      <c r="C90" s="75"/>
      <c r="D90" s="75">
        <v>12</v>
      </c>
      <c r="E90" s="97">
        <f>B90*C90*D90</f>
        <v>0</v>
      </c>
      <c r="I90" s="49" t="s">
        <v>139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</row>
    <row r="91" spans="1:84" s="49" customFormat="1">
      <c r="A91" s="59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</row>
    <row r="92" spans="1:84" s="49" customFormat="1">
      <c r="A92" s="59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</row>
    <row r="93" spans="1:84" s="49" customFormat="1">
      <c r="A93" s="59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</row>
    <row r="94" spans="1:84" s="49" customFormat="1">
      <c r="A94" s="59"/>
      <c r="B94" s="45" t="s">
        <v>275</v>
      </c>
      <c r="C94" s="150"/>
      <c r="D94" s="151"/>
      <c r="E94" s="91" t="s">
        <v>393</v>
      </c>
      <c r="F94" s="93"/>
      <c r="G94" s="92"/>
      <c r="H94" s="84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</row>
    <row r="95" spans="1:84" s="49" customFormat="1">
      <c r="A95" s="59"/>
      <c r="B95" s="84"/>
      <c r="C95" s="84"/>
      <c r="D95" s="84"/>
      <c r="E95" s="84"/>
      <c r="F95" s="84"/>
      <c r="G95" s="84"/>
      <c r="H95" s="84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</row>
    <row r="96" spans="1:84" s="49" customFormat="1">
      <c r="A96" s="35"/>
      <c r="B96" s="84"/>
      <c r="C96" s="84"/>
      <c r="D96" s="84"/>
      <c r="E96" s="84"/>
      <c r="F96" s="84"/>
      <c r="G96" s="84"/>
      <c r="H96" s="84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</row>
    <row r="97" spans="1:84" s="49" customFormat="1">
      <c r="A97" s="35"/>
      <c r="B97" s="35" t="s">
        <v>239</v>
      </c>
      <c r="C97" s="150"/>
      <c r="D97" s="150"/>
      <c r="E97" s="84" t="s">
        <v>394</v>
      </c>
      <c r="F97" s="93"/>
      <c r="G97" s="92"/>
      <c r="H97" s="84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</row>
    <row r="98" spans="1:84" s="49" customFormat="1">
      <c r="A98" s="35"/>
      <c r="B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</row>
    <row r="99" spans="1:84" s="49" customFormat="1">
      <c r="A99" s="35"/>
      <c r="B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</row>
    <row r="100" spans="1:84" s="49" customFormat="1">
      <c r="A100" s="35"/>
      <c r="B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</row>
    <row r="101" spans="1:84" s="49" customFormat="1">
      <c r="A101" s="35"/>
      <c r="B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</row>
  </sheetData>
  <mergeCells count="36">
    <mergeCell ref="B77:D77"/>
    <mergeCell ref="B78:D78"/>
    <mergeCell ref="C85:D85"/>
    <mergeCell ref="E85:F85"/>
    <mergeCell ref="B82:H82"/>
    <mergeCell ref="C83:D83"/>
    <mergeCell ref="E83:F83"/>
    <mergeCell ref="C84:D84"/>
    <mergeCell ref="E84:F84"/>
    <mergeCell ref="J7:K7"/>
    <mergeCell ref="B26:H26"/>
    <mergeCell ref="B2:H2"/>
    <mergeCell ref="J37:K37"/>
    <mergeCell ref="G53:H53"/>
    <mergeCell ref="J41:K41"/>
    <mergeCell ref="J45:K45"/>
    <mergeCell ref="B19:H19"/>
    <mergeCell ref="E20:F20"/>
    <mergeCell ref="E21:F21"/>
    <mergeCell ref="E22:F22"/>
    <mergeCell ref="C20:D20"/>
    <mergeCell ref="C21:D21"/>
    <mergeCell ref="C22:D22"/>
    <mergeCell ref="B55:H55"/>
    <mergeCell ref="B72:H72"/>
    <mergeCell ref="B4:H4"/>
    <mergeCell ref="H1:I1"/>
    <mergeCell ref="H3:I3"/>
    <mergeCell ref="B54:H54"/>
    <mergeCell ref="B64:H64"/>
    <mergeCell ref="C65:D65"/>
    <mergeCell ref="E65:F65"/>
    <mergeCell ref="C66:D66"/>
    <mergeCell ref="E66:F66"/>
    <mergeCell ref="C67:D67"/>
    <mergeCell ref="E67:F67"/>
  </mergeCells>
  <pageMargins left="0.59055118110236227" right="0" top="0.55118110236220474" bottom="0.55118110236220474" header="0.31496062992125984" footer="0.31496062992125984"/>
  <pageSetup paperSize="9" scale="76" orientation="portrait" r:id="rId1"/>
  <rowBreaks count="1" manualBreakCount="1">
    <brk id="4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CE111"/>
  <sheetViews>
    <sheetView view="pageBreakPreview" topLeftCell="A98" zoomScaleSheetLayoutView="100" workbookViewId="0">
      <selection activeCell="E117" sqref="E117"/>
    </sheetView>
  </sheetViews>
  <sheetFormatPr defaultColWidth="9.140625" defaultRowHeight="12.75"/>
  <cols>
    <col min="1" max="1" width="3.42578125" style="35" customWidth="1"/>
    <col min="2" max="2" width="30.7109375" style="35" customWidth="1"/>
    <col min="3" max="3" width="16.85546875" style="239" customWidth="1"/>
    <col min="4" max="4" width="12.85546875" style="35" customWidth="1"/>
    <col min="5" max="5" width="14.28515625" style="35" customWidth="1"/>
    <col min="6" max="6" width="13" style="35" customWidth="1"/>
    <col min="7" max="7" width="14.5703125" style="35" customWidth="1"/>
    <col min="8" max="8" width="9.140625" style="35"/>
    <col min="9" max="9" width="13.85546875" style="35" customWidth="1"/>
    <col min="10" max="10" width="10.140625" style="35" bestFit="1" customWidth="1"/>
    <col min="11" max="11" width="8.7109375" style="35" customWidth="1"/>
    <col min="12" max="16384" width="9.140625" style="35"/>
  </cols>
  <sheetData>
    <row r="1" spans="2:9">
      <c r="F1" s="499" t="s">
        <v>143</v>
      </c>
      <c r="G1" s="499"/>
    </row>
    <row r="2" spans="2:9" ht="25.5" customHeight="1">
      <c r="B2" s="537" t="s">
        <v>144</v>
      </c>
      <c r="C2" s="537"/>
      <c r="D2" s="537"/>
      <c r="E2" s="537"/>
      <c r="F2" s="537"/>
      <c r="G2" s="537"/>
    </row>
    <row r="3" spans="2:9" s="101" customFormat="1">
      <c r="B3" s="100"/>
      <c r="C3" s="240"/>
      <c r="D3" s="100"/>
      <c r="E3" s="100"/>
      <c r="F3" s="100"/>
      <c r="G3" s="100"/>
    </row>
    <row r="4" spans="2:9" ht="13.5" thickBot="1">
      <c r="B4" s="100"/>
      <c r="C4" s="240"/>
      <c r="D4" s="100"/>
      <c r="E4" s="100"/>
      <c r="F4" s="100"/>
      <c r="G4" s="100"/>
    </row>
    <row r="5" spans="2:9" s="212" customFormat="1" ht="25.5">
      <c r="B5" s="208"/>
      <c r="C5" s="241" t="s">
        <v>145</v>
      </c>
      <c r="D5" s="209" t="s">
        <v>146</v>
      </c>
      <c r="E5" s="209" t="s">
        <v>117</v>
      </c>
      <c r="F5" s="210" t="s">
        <v>118</v>
      </c>
      <c r="G5" s="211" t="s">
        <v>147</v>
      </c>
    </row>
    <row r="6" spans="2:9" s="215" customFormat="1">
      <c r="B6" s="213" t="s">
        <v>148</v>
      </c>
      <c r="C6" s="242">
        <v>349</v>
      </c>
      <c r="D6" s="214">
        <v>29.1</v>
      </c>
      <c r="E6" s="214">
        <v>12</v>
      </c>
      <c r="F6" s="214">
        <v>1</v>
      </c>
      <c r="G6" s="292">
        <f>ROUND(C6*D6*E6*F6,2)</f>
        <v>121870.8</v>
      </c>
    </row>
    <row r="7" spans="2:9" s="215" customFormat="1">
      <c r="B7" s="216" t="s">
        <v>150</v>
      </c>
      <c r="C7" s="242">
        <v>0.2</v>
      </c>
      <c r="D7" s="214">
        <v>4978</v>
      </c>
      <c r="E7" s="214">
        <v>12</v>
      </c>
      <c r="F7" s="214">
        <v>1</v>
      </c>
      <c r="G7" s="292">
        <f>ROUND(C7*D7*E7*F7,2)</f>
        <v>11947.2</v>
      </c>
    </row>
    <row r="8" spans="2:9" s="215" customFormat="1" ht="34.5" customHeight="1">
      <c r="B8" s="213" t="s">
        <v>278</v>
      </c>
      <c r="C8" s="296">
        <v>256.85000000000002</v>
      </c>
      <c r="D8" s="214">
        <v>4</v>
      </c>
      <c r="E8" s="214">
        <v>12</v>
      </c>
      <c r="F8" s="214">
        <v>1</v>
      </c>
      <c r="G8" s="292">
        <f>ROUND(C8*D8*E8,2)</f>
        <v>12328.8</v>
      </c>
    </row>
    <row r="9" spans="2:9" s="215" customFormat="1">
      <c r="B9" s="213" t="s">
        <v>151</v>
      </c>
      <c r="C9" s="242">
        <v>1300</v>
      </c>
      <c r="D9" s="214">
        <v>4</v>
      </c>
      <c r="E9" s="214">
        <v>12</v>
      </c>
      <c r="F9" s="214">
        <v>1</v>
      </c>
      <c r="G9" s="292">
        <f t="shared" ref="G9:G20" si="0">ROUND(C9*D9*E9,2)</f>
        <v>62400</v>
      </c>
    </row>
    <row r="10" spans="2:9" s="215" customFormat="1" ht="25.5">
      <c r="B10" s="213" t="s">
        <v>387</v>
      </c>
      <c r="C10" s="242">
        <v>722</v>
      </c>
      <c r="D10" s="214">
        <v>1</v>
      </c>
      <c r="E10" s="214">
        <v>12</v>
      </c>
      <c r="F10" s="214">
        <v>1</v>
      </c>
      <c r="G10" s="292">
        <f t="shared" si="0"/>
        <v>8664</v>
      </c>
    </row>
    <row r="11" spans="2:9" s="215" customFormat="1">
      <c r="B11" s="213" t="s">
        <v>240</v>
      </c>
      <c r="C11" s="242">
        <v>750</v>
      </c>
      <c r="D11" s="232">
        <v>1</v>
      </c>
      <c r="E11" s="232">
        <v>12</v>
      </c>
      <c r="F11" s="232">
        <v>1</v>
      </c>
      <c r="G11" s="292">
        <f t="shared" si="0"/>
        <v>9000</v>
      </c>
    </row>
    <row r="12" spans="2:9" s="215" customFormat="1" ht="25.5">
      <c r="B12" s="213" t="s">
        <v>386</v>
      </c>
      <c r="C12" s="242">
        <v>1456</v>
      </c>
      <c r="D12" s="214">
        <v>4</v>
      </c>
      <c r="E12" s="214">
        <v>8</v>
      </c>
      <c r="F12" s="214">
        <v>1</v>
      </c>
      <c r="G12" s="292">
        <f t="shared" si="0"/>
        <v>46592</v>
      </c>
    </row>
    <row r="13" spans="2:9" s="215" customFormat="1">
      <c r="B13" s="213" t="s">
        <v>241</v>
      </c>
      <c r="C13" s="242">
        <v>1100</v>
      </c>
      <c r="D13" s="214">
        <v>4</v>
      </c>
      <c r="E13" s="214">
        <v>12</v>
      </c>
      <c r="F13" s="214">
        <v>1</v>
      </c>
      <c r="G13" s="292">
        <f t="shared" si="0"/>
        <v>52800</v>
      </c>
      <c r="I13" s="297"/>
    </row>
    <row r="14" spans="2:9" s="215" customFormat="1">
      <c r="B14" s="213" t="s">
        <v>242</v>
      </c>
      <c r="C14" s="242">
        <v>1605.26</v>
      </c>
      <c r="D14" s="214">
        <v>4</v>
      </c>
      <c r="E14" s="214">
        <v>12</v>
      </c>
      <c r="F14" s="214">
        <v>1</v>
      </c>
      <c r="G14" s="292">
        <f>ROUND(C14*D14*E14,2)-0.28</f>
        <v>77052.2</v>
      </c>
    </row>
    <row r="15" spans="2:9" s="215" customFormat="1">
      <c r="B15" s="213" t="s">
        <v>279</v>
      </c>
      <c r="C15" s="242"/>
      <c r="D15" s="214"/>
      <c r="E15" s="214"/>
      <c r="F15" s="214"/>
      <c r="G15" s="292">
        <f>C15*D15*E15*F15</f>
        <v>0</v>
      </c>
      <c r="I15" s="297"/>
    </row>
    <row r="16" spans="2:9" s="215" customFormat="1">
      <c r="B16" s="213"/>
      <c r="C16" s="242"/>
      <c r="D16" s="214"/>
      <c r="E16" s="214"/>
      <c r="F16" s="214"/>
      <c r="G16" s="292"/>
    </row>
    <row r="17" spans="2:9" s="215" customFormat="1" ht="38.25" customHeight="1">
      <c r="B17" s="213" t="s">
        <v>389</v>
      </c>
      <c r="C17" s="242">
        <v>48000</v>
      </c>
      <c r="D17" s="214">
        <v>1</v>
      </c>
      <c r="E17" s="214">
        <v>1</v>
      </c>
      <c r="F17" s="214">
        <v>1</v>
      </c>
      <c r="G17" s="292">
        <f>ROUND(C17*D17*E17,2)</f>
        <v>48000</v>
      </c>
    </row>
    <row r="18" spans="2:9" s="215" customFormat="1">
      <c r="B18" s="213" t="s">
        <v>152</v>
      </c>
      <c r="C18" s="242">
        <v>7000</v>
      </c>
      <c r="D18" s="214">
        <v>1</v>
      </c>
      <c r="E18" s="214">
        <v>1</v>
      </c>
      <c r="F18" s="214"/>
      <c r="G18" s="292">
        <f>ROUND(C18*D18*E18,2)</f>
        <v>7000</v>
      </c>
    </row>
    <row r="19" spans="2:9" s="215" customFormat="1">
      <c r="B19" s="216" t="s">
        <v>306</v>
      </c>
      <c r="C19" s="242"/>
      <c r="D19" s="214"/>
      <c r="E19" s="214"/>
      <c r="F19" s="214"/>
      <c r="G19" s="292">
        <f>ROUND(C19*D19*E19,2)</f>
        <v>0</v>
      </c>
    </row>
    <row r="20" spans="2:9" s="215" customFormat="1">
      <c r="B20" s="213" t="s">
        <v>243</v>
      </c>
      <c r="C20" s="242">
        <v>630.25</v>
      </c>
      <c r="D20" s="214">
        <v>4</v>
      </c>
      <c r="E20" s="214">
        <v>12</v>
      </c>
      <c r="F20" s="214">
        <v>1</v>
      </c>
      <c r="G20" s="292">
        <f t="shared" si="0"/>
        <v>30252</v>
      </c>
    </row>
    <row r="21" spans="2:9" s="215" customFormat="1">
      <c r="B21" s="213" t="s">
        <v>390</v>
      </c>
      <c r="C21" s="242">
        <v>10660</v>
      </c>
      <c r="D21" s="214">
        <v>1</v>
      </c>
      <c r="E21" s="214">
        <v>1</v>
      </c>
      <c r="F21" s="214">
        <v>1</v>
      </c>
      <c r="G21" s="292">
        <f>ROUND(C21*D21*E21,0)</f>
        <v>10660</v>
      </c>
    </row>
    <row r="22" spans="2:9" s="215" customFormat="1">
      <c r="B22" s="213" t="s">
        <v>244</v>
      </c>
      <c r="C22" s="243">
        <v>26000</v>
      </c>
      <c r="D22" s="218">
        <v>1</v>
      </c>
      <c r="E22" s="217">
        <v>1</v>
      </c>
      <c r="F22" s="214">
        <v>1</v>
      </c>
      <c r="G22" s="292">
        <f>C22*E22</f>
        <v>26000</v>
      </c>
    </row>
    <row r="23" spans="2:9" s="215" customFormat="1" ht="25.5" hidden="1" customHeight="1">
      <c r="B23" s="213" t="s">
        <v>245</v>
      </c>
      <c r="C23" s="243"/>
      <c r="D23" s="218"/>
      <c r="E23" s="217"/>
      <c r="F23" s="214"/>
      <c r="G23" s="292">
        <f>C23*D23*E23*F23</f>
        <v>0</v>
      </c>
    </row>
    <row r="24" spans="2:9" s="215" customFormat="1" ht="12.75" hidden="1" customHeight="1">
      <c r="B24" s="213" t="s">
        <v>246</v>
      </c>
      <c r="C24" s="243"/>
      <c r="D24" s="218"/>
      <c r="E24" s="217"/>
      <c r="F24" s="214"/>
      <c r="G24" s="292">
        <f>C24*D24*E24*F24</f>
        <v>0</v>
      </c>
    </row>
    <row r="25" spans="2:9" s="215" customFormat="1" ht="14.25" customHeight="1">
      <c r="B25" s="213" t="s">
        <v>167</v>
      </c>
      <c r="C25" s="243">
        <v>1065.8</v>
      </c>
      <c r="D25" s="218">
        <v>4</v>
      </c>
      <c r="E25" s="217">
        <v>12</v>
      </c>
      <c r="F25" s="214">
        <v>1</v>
      </c>
      <c r="G25" s="292">
        <f>C25*D25*E25*F25-0.4</f>
        <v>51157.999999999993</v>
      </c>
    </row>
    <row r="26" spans="2:9" s="215" customFormat="1" ht="25.5">
      <c r="B26" s="216" t="s">
        <v>247</v>
      </c>
      <c r="C26" s="244">
        <v>2100</v>
      </c>
      <c r="D26" s="218">
        <v>1</v>
      </c>
      <c r="E26" s="217">
        <v>1</v>
      </c>
      <c r="F26" s="214">
        <v>1</v>
      </c>
      <c r="G26" s="292">
        <f>C26*E26</f>
        <v>2100</v>
      </c>
    </row>
    <row r="27" spans="2:9" s="215" customFormat="1" ht="26.25" thickBot="1">
      <c r="B27" s="223" t="s">
        <v>391</v>
      </c>
      <c r="C27" s="242">
        <v>6000</v>
      </c>
      <c r="D27" s="214">
        <v>1</v>
      </c>
      <c r="E27" s="214">
        <v>1</v>
      </c>
      <c r="F27" s="214">
        <v>1</v>
      </c>
      <c r="G27" s="292">
        <f>ROUND(C27*D27*E27,2)</f>
        <v>6000</v>
      </c>
    </row>
    <row r="28" spans="2:9" s="215" customFormat="1" ht="11.25" hidden="1" customHeight="1">
      <c r="B28" s="538" t="s">
        <v>290</v>
      </c>
      <c r="C28" s="242"/>
      <c r="D28" s="214"/>
      <c r="E28" s="214"/>
      <c r="F28" s="214"/>
      <c r="G28" s="292"/>
      <c r="I28" s="297"/>
    </row>
    <row r="29" spans="2:9" s="215" customFormat="1" hidden="1">
      <c r="B29" s="539"/>
      <c r="C29" s="242"/>
      <c r="D29" s="214"/>
      <c r="E29" s="214"/>
      <c r="F29" s="214"/>
      <c r="G29" s="292"/>
    </row>
    <row r="30" spans="2:9" s="215" customFormat="1" hidden="1">
      <c r="B30" s="539"/>
      <c r="C30" s="242"/>
      <c r="D30" s="214"/>
      <c r="E30" s="214"/>
      <c r="F30" s="214"/>
      <c r="G30" s="292"/>
    </row>
    <row r="31" spans="2:9" s="215" customFormat="1" ht="11.25" hidden="1" customHeight="1">
      <c r="B31" s="538" t="s">
        <v>291</v>
      </c>
      <c r="C31" s="242"/>
      <c r="D31" s="214"/>
      <c r="E31" s="214"/>
      <c r="F31" s="214"/>
      <c r="G31" s="292"/>
      <c r="I31" s="297"/>
    </row>
    <row r="32" spans="2:9" s="215" customFormat="1" hidden="1">
      <c r="B32" s="539"/>
      <c r="C32" s="242"/>
      <c r="D32" s="214"/>
      <c r="E32" s="214"/>
      <c r="F32" s="214"/>
      <c r="G32" s="292"/>
    </row>
    <row r="33" spans="2:9" s="215" customFormat="1" hidden="1">
      <c r="B33" s="539"/>
      <c r="C33" s="242"/>
      <c r="D33" s="214"/>
      <c r="E33" s="214"/>
      <c r="F33" s="214"/>
      <c r="G33" s="292"/>
    </row>
    <row r="34" spans="2:9" s="215" customFormat="1" ht="13.5" hidden="1" thickBot="1">
      <c r="B34" s="540"/>
      <c r="C34" s="298"/>
      <c r="D34" s="299"/>
      <c r="E34" s="299"/>
      <c r="F34" s="299"/>
      <c r="G34" s="304"/>
    </row>
    <row r="35" spans="2:9" s="215" customFormat="1" ht="18.75" customHeight="1">
      <c r="B35" s="221" t="s">
        <v>248</v>
      </c>
      <c r="C35" s="245"/>
      <c r="D35" s="222"/>
      <c r="E35" s="222"/>
      <c r="F35" s="222"/>
      <c r="G35" s="305">
        <f>SUM(G36:G46)</f>
        <v>38350</v>
      </c>
    </row>
    <row r="36" spans="2:9" s="215" customFormat="1" ht="17.25" customHeight="1">
      <c r="B36" s="223" t="s">
        <v>388</v>
      </c>
      <c r="C36" s="242">
        <v>4500</v>
      </c>
      <c r="D36" s="214">
        <v>1</v>
      </c>
      <c r="E36" s="214">
        <v>1</v>
      </c>
      <c r="F36" s="214">
        <v>1</v>
      </c>
      <c r="G36" s="292">
        <f>ROUND(C36*D36*E36,2)</f>
        <v>4500</v>
      </c>
    </row>
    <row r="37" spans="2:9" s="215" customFormat="1">
      <c r="B37" s="223" t="s">
        <v>280</v>
      </c>
      <c r="C37" s="242">
        <v>17050</v>
      </c>
      <c r="D37" s="214">
        <v>1</v>
      </c>
      <c r="E37" s="214">
        <v>1</v>
      </c>
      <c r="F37" s="214">
        <v>1</v>
      </c>
      <c r="G37" s="292">
        <f>C37*D37*E37*F37</f>
        <v>17050</v>
      </c>
    </row>
    <row r="38" spans="2:9" s="215" customFormat="1">
      <c r="B38" s="223" t="s">
        <v>281</v>
      </c>
      <c r="C38" s="242">
        <v>5000</v>
      </c>
      <c r="D38" s="214">
        <v>1</v>
      </c>
      <c r="E38" s="214">
        <v>1</v>
      </c>
      <c r="F38" s="214">
        <v>1</v>
      </c>
      <c r="G38" s="292">
        <f>C38*D38*E38*F38</f>
        <v>5000</v>
      </c>
      <c r="I38" s="297"/>
    </row>
    <row r="39" spans="2:9" s="215" customFormat="1" ht="38.25" hidden="1">
      <c r="B39" s="223" t="s">
        <v>286</v>
      </c>
      <c r="C39" s="242"/>
      <c r="D39" s="214"/>
      <c r="E39" s="214"/>
      <c r="F39" s="214"/>
      <c r="G39" s="292"/>
    </row>
    <row r="40" spans="2:9" s="215" customFormat="1" ht="15" customHeight="1">
      <c r="B40" s="223" t="s">
        <v>249</v>
      </c>
      <c r="C40" s="242">
        <v>4000</v>
      </c>
      <c r="D40" s="214">
        <v>1</v>
      </c>
      <c r="E40" s="214">
        <v>1</v>
      </c>
      <c r="F40" s="214">
        <v>1</v>
      </c>
      <c r="G40" s="292">
        <f t="shared" ref="G40:G41" si="1">C40*D40*E40*F40</f>
        <v>4000</v>
      </c>
    </row>
    <row r="41" spans="2:9" s="215" customFormat="1" ht="12.75" customHeight="1">
      <c r="B41" s="223" t="s">
        <v>250</v>
      </c>
      <c r="C41" s="242">
        <v>3400</v>
      </c>
      <c r="D41" s="214">
        <v>1</v>
      </c>
      <c r="E41" s="214">
        <v>1</v>
      </c>
      <c r="F41" s="214">
        <v>1</v>
      </c>
      <c r="G41" s="292">
        <f t="shared" si="1"/>
        <v>3400</v>
      </c>
    </row>
    <row r="42" spans="2:9" s="215" customFormat="1">
      <c r="B42" s="223" t="s">
        <v>392</v>
      </c>
      <c r="C42" s="242">
        <v>4400</v>
      </c>
      <c r="D42" s="214">
        <v>1</v>
      </c>
      <c r="E42" s="214">
        <v>1</v>
      </c>
      <c r="F42" s="214">
        <v>1</v>
      </c>
      <c r="G42" s="292">
        <f t="shared" ref="G42:G51" si="2">ROUND(C42*D42*E42*F42,2)</f>
        <v>4400</v>
      </c>
    </row>
    <row r="43" spans="2:9" s="215" customFormat="1" ht="12.75" hidden="1" customHeight="1">
      <c r="B43" s="223"/>
      <c r="C43" s="242"/>
      <c r="D43" s="214"/>
      <c r="E43" s="214"/>
      <c r="F43" s="214"/>
      <c r="G43" s="292">
        <f t="shared" si="2"/>
        <v>0</v>
      </c>
    </row>
    <row r="44" spans="2:9" s="215" customFormat="1" ht="12.75" hidden="1" customHeight="1">
      <c r="B44" s="223"/>
      <c r="C44" s="242"/>
      <c r="D44" s="214"/>
      <c r="E44" s="214"/>
      <c r="F44" s="214"/>
      <c r="G44" s="292">
        <f t="shared" si="2"/>
        <v>0</v>
      </c>
    </row>
    <row r="45" spans="2:9" s="215" customFormat="1" hidden="1">
      <c r="B45" s="223"/>
      <c r="C45" s="242"/>
      <c r="D45" s="214"/>
      <c r="E45" s="214"/>
      <c r="F45" s="214"/>
      <c r="G45" s="292">
        <f t="shared" si="2"/>
        <v>0</v>
      </c>
    </row>
    <row r="46" spans="2:9" s="215" customFormat="1" ht="12.75" hidden="1" customHeight="1" thickBot="1">
      <c r="B46" s="219"/>
      <c r="C46" s="246"/>
      <c r="D46" s="220"/>
      <c r="E46" s="220"/>
      <c r="F46" s="220"/>
      <c r="G46" s="306">
        <f t="shared" si="2"/>
        <v>0</v>
      </c>
    </row>
    <row r="47" spans="2:9" s="215" customFormat="1" ht="24.75" hidden="1" customHeight="1" thickBot="1">
      <c r="B47" s="300" t="s">
        <v>288</v>
      </c>
      <c r="C47" s="301"/>
      <c r="D47" s="302"/>
      <c r="E47" s="302"/>
      <c r="F47" s="302"/>
      <c r="G47" s="307">
        <f>C47*D47*E47*F47</f>
        <v>0</v>
      </c>
    </row>
    <row r="48" spans="2:9" ht="13.5" hidden="1" customHeight="1">
      <c r="B48" s="103"/>
      <c r="C48" s="247"/>
      <c r="D48" s="157"/>
      <c r="E48" s="157"/>
      <c r="F48" s="157"/>
      <c r="G48" s="158">
        <f t="shared" si="2"/>
        <v>0</v>
      </c>
    </row>
    <row r="49" spans="2:9" ht="13.5" hidden="1" customHeight="1">
      <c r="B49" s="102"/>
      <c r="C49" s="248"/>
      <c r="D49" s="36"/>
      <c r="E49" s="36"/>
      <c r="F49" s="36"/>
      <c r="G49" s="155">
        <f t="shared" si="2"/>
        <v>0</v>
      </c>
    </row>
    <row r="50" spans="2:9" hidden="1">
      <c r="B50" s="102"/>
      <c r="C50" s="248"/>
      <c r="D50" s="36"/>
      <c r="E50" s="36"/>
      <c r="F50" s="36"/>
      <c r="G50" s="155">
        <f t="shared" si="2"/>
        <v>0</v>
      </c>
    </row>
    <row r="51" spans="2:9" hidden="1">
      <c r="B51" s="102"/>
      <c r="C51" s="248"/>
      <c r="D51" s="36"/>
      <c r="E51" s="36"/>
      <c r="F51" s="36"/>
      <c r="G51" s="155">
        <f t="shared" si="2"/>
        <v>0</v>
      </c>
    </row>
    <row r="52" spans="2:9" ht="13.5" thickBot="1">
      <c r="B52" s="83"/>
      <c r="C52" s="249"/>
      <c r="D52" s="106"/>
      <c r="E52" s="106"/>
      <c r="F52" s="106"/>
      <c r="G52" s="154"/>
      <c r="I52" s="40"/>
    </row>
    <row r="53" spans="2:9">
      <c r="B53" s="108"/>
      <c r="C53" s="250"/>
      <c r="D53" s="101"/>
      <c r="E53" s="101"/>
      <c r="F53" s="101"/>
      <c r="G53" s="109"/>
      <c r="H53" s="101"/>
    </row>
    <row r="54" spans="2:9">
      <c r="B54" s="108"/>
      <c r="C54" s="250"/>
      <c r="D54" s="101"/>
      <c r="E54" s="101"/>
      <c r="F54" s="101"/>
      <c r="G54" s="101"/>
    </row>
    <row r="55" spans="2:9" ht="17.25" customHeight="1">
      <c r="B55" s="49"/>
    </row>
    <row r="56" spans="2:9" s="215" customFormat="1" ht="32.25" customHeight="1">
      <c r="B56" s="533" t="s">
        <v>153</v>
      </c>
      <c r="C56" s="534"/>
      <c r="D56" s="534"/>
      <c r="E56" s="534"/>
      <c r="F56" s="534"/>
      <c r="G56" s="534"/>
    </row>
    <row r="57" spans="2:9" s="215" customFormat="1" ht="13.5" thickBot="1">
      <c r="B57" s="212"/>
      <c r="C57" s="251"/>
    </row>
    <row r="58" spans="2:9" s="215" customFormat="1" ht="25.5">
      <c r="B58" s="224"/>
      <c r="C58" s="252" t="s">
        <v>145</v>
      </c>
      <c r="D58" s="225" t="s">
        <v>146</v>
      </c>
      <c r="E58" s="225" t="s">
        <v>117</v>
      </c>
      <c r="F58" s="226" t="s">
        <v>118</v>
      </c>
      <c r="G58" s="227" t="s">
        <v>147</v>
      </c>
    </row>
    <row r="59" spans="2:9" s="263" customFormat="1" ht="25.5">
      <c r="B59" s="213" t="s">
        <v>154</v>
      </c>
      <c r="C59" s="242">
        <v>247.8</v>
      </c>
      <c r="D59" s="232">
        <v>4</v>
      </c>
      <c r="E59" s="232">
        <v>12</v>
      </c>
      <c r="F59" s="232">
        <v>1</v>
      </c>
      <c r="G59" s="327">
        <f t="shared" ref="G59:G64" si="3">ROUND(C59*D59*E59*F59,2)</f>
        <v>11894.4</v>
      </c>
    </row>
    <row r="60" spans="2:9" s="263" customFormat="1" ht="25.5" hidden="1">
      <c r="B60" s="213" t="s">
        <v>154</v>
      </c>
      <c r="C60" s="242"/>
      <c r="D60" s="232"/>
      <c r="E60" s="232"/>
      <c r="F60" s="232"/>
      <c r="G60" s="327">
        <f t="shared" si="3"/>
        <v>0</v>
      </c>
    </row>
    <row r="61" spans="2:9" s="263" customFormat="1">
      <c r="B61" s="213" t="s">
        <v>155</v>
      </c>
      <c r="C61" s="242">
        <v>0.61</v>
      </c>
      <c r="D61" s="232">
        <v>2091.5</v>
      </c>
      <c r="E61" s="232">
        <v>12</v>
      </c>
      <c r="F61" s="232">
        <v>1</v>
      </c>
      <c r="G61" s="328">
        <f>ROUND(C61*D61*E61*F61,2)</f>
        <v>15309.78</v>
      </c>
      <c r="H61" s="308"/>
      <c r="I61" s="308"/>
    </row>
    <row r="62" spans="2:9" s="263" customFormat="1">
      <c r="B62" s="213" t="s">
        <v>238</v>
      </c>
      <c r="C62" s="242">
        <v>3280.4</v>
      </c>
      <c r="D62" s="232">
        <v>1</v>
      </c>
      <c r="E62" s="232">
        <v>12</v>
      </c>
      <c r="F62" s="232">
        <v>1</v>
      </c>
      <c r="G62" s="327">
        <f>ROUND(C62*D62*E62*F62,2)+0.02</f>
        <v>39364.82</v>
      </c>
    </row>
    <row r="63" spans="2:9" s="263" customFormat="1" hidden="1">
      <c r="B63" s="213" t="s">
        <v>238</v>
      </c>
      <c r="C63" s="242"/>
      <c r="D63" s="232"/>
      <c r="E63" s="232">
        <v>12</v>
      </c>
      <c r="F63" s="232">
        <v>1</v>
      </c>
      <c r="G63" s="327">
        <f t="shared" si="3"/>
        <v>0</v>
      </c>
    </row>
    <row r="64" spans="2:9" s="263" customFormat="1" hidden="1">
      <c r="B64" s="213" t="s">
        <v>238</v>
      </c>
      <c r="C64" s="242"/>
      <c r="D64" s="232"/>
      <c r="E64" s="232">
        <v>12</v>
      </c>
      <c r="F64" s="232">
        <v>1</v>
      </c>
      <c r="G64" s="327">
        <f t="shared" si="3"/>
        <v>0</v>
      </c>
    </row>
    <row r="65" spans="2:7" s="215" customFormat="1">
      <c r="B65" s="213" t="s">
        <v>156</v>
      </c>
      <c r="C65" s="242"/>
      <c r="D65" s="214"/>
      <c r="E65" s="214"/>
      <c r="F65" s="214"/>
      <c r="G65" s="329">
        <f>SUM(G59:G64)</f>
        <v>66569</v>
      </c>
    </row>
    <row r="66" spans="2:7" s="215" customFormat="1" ht="27" customHeight="1" thickBot="1">
      <c r="B66" s="228" t="s">
        <v>157</v>
      </c>
      <c r="C66" s="253"/>
      <c r="D66" s="229"/>
      <c r="E66" s="229"/>
      <c r="F66" s="229"/>
      <c r="G66" s="230">
        <f>ROUND(C66*D66*E66*F66,2)</f>
        <v>0</v>
      </c>
    </row>
    <row r="67" spans="2:7" s="215" customFormat="1">
      <c r="B67" s="212"/>
      <c r="C67" s="251"/>
    </row>
    <row r="68" spans="2:7">
      <c r="B68" s="49"/>
    </row>
    <row r="69" spans="2:7">
      <c r="B69" s="49"/>
    </row>
    <row r="71" spans="2:7" ht="18.75">
      <c r="B71" s="114" t="s">
        <v>158</v>
      </c>
      <c r="C71" s="254"/>
      <c r="D71" s="115"/>
      <c r="E71" s="116"/>
    </row>
    <row r="72" spans="2:7" ht="45">
      <c r="B72" s="117" t="s">
        <v>25</v>
      </c>
      <c r="C72" s="255" t="s">
        <v>146</v>
      </c>
      <c r="D72" s="118" t="s">
        <v>145</v>
      </c>
      <c r="E72" s="117" t="s">
        <v>159</v>
      </c>
    </row>
    <row r="73" spans="2:7" ht="15">
      <c r="B73" s="119" t="s">
        <v>160</v>
      </c>
      <c r="C73" s="256">
        <v>951</v>
      </c>
      <c r="D73" s="281">
        <v>232.58</v>
      </c>
      <c r="E73" s="248">
        <f>C73*D73-3.58</f>
        <v>221180.00000000003</v>
      </c>
    </row>
    <row r="74" spans="2:7" ht="15" hidden="1">
      <c r="B74" s="119"/>
      <c r="C74" s="256"/>
      <c r="D74" s="120"/>
      <c r="E74" s="248">
        <f t="shared" ref="E74:E80" si="4">C74*D74</f>
        <v>0</v>
      </c>
    </row>
    <row r="75" spans="2:7" ht="15" hidden="1">
      <c r="B75" s="120"/>
      <c r="C75" s="256"/>
      <c r="D75" s="120"/>
      <c r="E75" s="248">
        <f t="shared" si="4"/>
        <v>0</v>
      </c>
    </row>
    <row r="76" spans="2:7" ht="15" hidden="1">
      <c r="B76" s="120"/>
      <c r="C76" s="256"/>
      <c r="D76" s="120"/>
      <c r="E76" s="248">
        <f t="shared" si="4"/>
        <v>0</v>
      </c>
    </row>
    <row r="77" spans="2:7" ht="15" hidden="1">
      <c r="B77" s="120"/>
      <c r="C77" s="256"/>
      <c r="D77" s="120"/>
      <c r="E77" s="248">
        <f t="shared" si="4"/>
        <v>0</v>
      </c>
    </row>
    <row r="78" spans="2:7" ht="15" hidden="1">
      <c r="B78" s="120"/>
      <c r="C78" s="256"/>
      <c r="D78" s="120"/>
      <c r="E78" s="248">
        <f t="shared" si="4"/>
        <v>0</v>
      </c>
    </row>
    <row r="79" spans="2:7" ht="15" hidden="1">
      <c r="B79" s="120"/>
      <c r="C79" s="256"/>
      <c r="D79" s="120"/>
      <c r="E79" s="248">
        <f t="shared" si="4"/>
        <v>0</v>
      </c>
    </row>
    <row r="80" spans="2:7" ht="15" hidden="1">
      <c r="B80" s="120"/>
      <c r="C80" s="256"/>
      <c r="D80" s="120"/>
      <c r="E80" s="248">
        <f t="shared" si="4"/>
        <v>0</v>
      </c>
    </row>
    <row r="81" spans="2:10" ht="14.25">
      <c r="B81" s="121" t="s">
        <v>125</v>
      </c>
      <c r="C81" s="257"/>
      <c r="D81" s="121"/>
      <c r="E81" s="248">
        <f>ROUND(SUM(E73:E80),2)</f>
        <v>221180</v>
      </c>
    </row>
    <row r="82" spans="2:10" ht="14.25">
      <c r="B82" s="122"/>
      <c r="C82" s="258"/>
      <c r="D82" s="122"/>
      <c r="E82" s="101"/>
    </row>
    <row r="83" spans="2:10" ht="14.25">
      <c r="B83" s="122"/>
      <c r="C83" s="258"/>
      <c r="D83" s="122"/>
      <c r="E83" s="101"/>
    </row>
    <row r="84" spans="2:10" ht="18.75">
      <c r="B84" s="535" t="s">
        <v>161</v>
      </c>
      <c r="C84" s="536"/>
      <c r="D84" s="536"/>
      <c r="E84" s="536"/>
      <c r="F84" s="536"/>
      <c r="G84" s="536"/>
    </row>
    <row r="85" spans="2:10" ht="13.5" thickBot="1"/>
    <row r="86" spans="2:10" ht="25.5">
      <c r="B86" s="110"/>
      <c r="C86" s="259" t="s">
        <v>145</v>
      </c>
      <c r="D86" s="111" t="s">
        <v>146</v>
      </c>
      <c r="E86" s="111" t="s">
        <v>117</v>
      </c>
      <c r="F86" s="64" t="s">
        <v>118</v>
      </c>
      <c r="G86" s="112" t="s">
        <v>147</v>
      </c>
    </row>
    <row r="87" spans="2:10">
      <c r="B87" s="156" t="s">
        <v>251</v>
      </c>
      <c r="C87" s="248"/>
      <c r="D87" s="36"/>
      <c r="E87" s="36"/>
      <c r="F87" s="36"/>
      <c r="G87" s="264">
        <f>SUM(G88:G91)</f>
        <v>226260</v>
      </c>
      <c r="H87" s="35" t="s">
        <v>149</v>
      </c>
    </row>
    <row r="88" spans="2:10">
      <c r="B88" s="67" t="s">
        <v>252</v>
      </c>
      <c r="C88" s="248">
        <v>1250</v>
      </c>
      <c r="D88" s="36">
        <v>137</v>
      </c>
      <c r="E88" s="36">
        <v>1</v>
      </c>
      <c r="F88" s="36">
        <v>1</v>
      </c>
      <c r="G88" s="265">
        <f t="shared" ref="G88:G103" si="5">ROUND(C88*D88*E88*F88,2)</f>
        <v>171250</v>
      </c>
    </row>
    <row r="89" spans="2:10">
      <c r="B89" s="67" t="s">
        <v>253</v>
      </c>
      <c r="C89" s="248">
        <v>1040</v>
      </c>
      <c r="D89" s="36">
        <v>10</v>
      </c>
      <c r="E89" s="36">
        <v>1</v>
      </c>
      <c r="F89" s="36">
        <v>1</v>
      </c>
      <c r="G89" s="265">
        <f t="shared" si="5"/>
        <v>10400</v>
      </c>
      <c r="H89" s="35" t="s">
        <v>149</v>
      </c>
    </row>
    <row r="90" spans="2:10">
      <c r="B90" s="67" t="s">
        <v>254</v>
      </c>
      <c r="C90" s="248">
        <v>150</v>
      </c>
      <c r="D90" s="36">
        <v>121</v>
      </c>
      <c r="E90" s="36">
        <v>1</v>
      </c>
      <c r="F90" s="36">
        <v>1</v>
      </c>
      <c r="G90" s="265">
        <f t="shared" si="5"/>
        <v>18150</v>
      </c>
    </row>
    <row r="91" spans="2:10">
      <c r="B91" s="67" t="s">
        <v>255</v>
      </c>
      <c r="C91" s="248">
        <v>180</v>
      </c>
      <c r="D91" s="36">
        <v>147</v>
      </c>
      <c r="E91" s="36">
        <v>1</v>
      </c>
      <c r="F91" s="36">
        <v>1</v>
      </c>
      <c r="G91" s="265">
        <f>ROUND(C91*D91*E91*F91,2)</f>
        <v>26460</v>
      </c>
      <c r="H91" s="35" t="s">
        <v>149</v>
      </c>
    </row>
    <row r="92" spans="2:10">
      <c r="B92" s="67"/>
      <c r="C92" s="248"/>
      <c r="D92" s="36"/>
      <c r="E92" s="36"/>
      <c r="F92" s="36"/>
      <c r="G92" s="265"/>
    </row>
    <row r="93" spans="2:10">
      <c r="B93" s="236" t="s">
        <v>256</v>
      </c>
      <c r="C93" s="260">
        <v>1236</v>
      </c>
      <c r="D93" s="237">
        <v>1</v>
      </c>
      <c r="E93" s="237">
        <v>12</v>
      </c>
      <c r="F93" s="237">
        <v>1</v>
      </c>
      <c r="G93" s="266">
        <f>ROUND(C93*D93*E93*F93,2)</f>
        <v>14832</v>
      </c>
      <c r="H93" s="35" t="s">
        <v>149</v>
      </c>
    </row>
    <row r="94" spans="2:10" ht="12.75" customHeight="1">
      <c r="B94" s="236" t="s">
        <v>162</v>
      </c>
      <c r="C94" s="260">
        <v>4400</v>
      </c>
      <c r="D94" s="237">
        <v>1</v>
      </c>
      <c r="E94" s="237">
        <v>1</v>
      </c>
      <c r="F94" s="237">
        <v>1</v>
      </c>
      <c r="G94" s="266">
        <f t="shared" si="5"/>
        <v>4400</v>
      </c>
      <c r="H94" s="35" t="s">
        <v>149</v>
      </c>
      <c r="J94" s="44"/>
    </row>
    <row r="95" spans="2:10" hidden="1">
      <c r="B95" s="236" t="s">
        <v>257</v>
      </c>
      <c r="C95" s="260"/>
      <c r="D95" s="237"/>
      <c r="E95" s="237"/>
      <c r="F95" s="237"/>
      <c r="G95" s="266">
        <f t="shared" si="5"/>
        <v>0</v>
      </c>
    </row>
    <row r="96" spans="2:10" hidden="1">
      <c r="B96" s="236" t="s">
        <v>258</v>
      </c>
      <c r="C96" s="260"/>
      <c r="D96" s="237"/>
      <c r="E96" s="237"/>
      <c r="F96" s="237"/>
      <c r="G96" s="266">
        <f t="shared" si="5"/>
        <v>0</v>
      </c>
    </row>
    <row r="97" spans="2:83" hidden="1">
      <c r="B97" s="236" t="s">
        <v>259</v>
      </c>
      <c r="C97" s="260"/>
      <c r="D97" s="237"/>
      <c r="E97" s="237"/>
      <c r="F97" s="237"/>
      <c r="G97" s="266">
        <f t="shared" si="5"/>
        <v>0</v>
      </c>
    </row>
    <row r="98" spans="2:83">
      <c r="B98" s="236" t="s">
        <v>276</v>
      </c>
      <c r="C98" s="260">
        <v>2500</v>
      </c>
      <c r="D98" s="237">
        <v>1</v>
      </c>
      <c r="E98" s="237">
        <v>1</v>
      </c>
      <c r="F98" s="237">
        <v>1</v>
      </c>
      <c r="G98" s="266">
        <f t="shared" si="5"/>
        <v>2500</v>
      </c>
      <c r="H98" s="35" t="s">
        <v>149</v>
      </c>
    </row>
    <row r="99" spans="2:83" ht="12.75" hidden="1" customHeight="1">
      <c r="B99" s="67" t="s">
        <v>259</v>
      </c>
      <c r="C99" s="248"/>
      <c r="D99" s="36"/>
      <c r="E99" s="36"/>
      <c r="F99" s="36"/>
      <c r="G99" s="265">
        <f t="shared" si="5"/>
        <v>0</v>
      </c>
      <c r="H99" s="35" t="s">
        <v>149</v>
      </c>
    </row>
    <row r="100" spans="2:83" ht="12.75" hidden="1" customHeight="1">
      <c r="B100" s="364"/>
      <c r="C100" s="248"/>
      <c r="D100" s="36"/>
      <c r="E100" s="36"/>
      <c r="F100" s="36"/>
      <c r="G100" s="267">
        <f t="shared" si="5"/>
        <v>0</v>
      </c>
      <c r="H100" s="35" t="s">
        <v>149</v>
      </c>
    </row>
    <row r="101" spans="2:83" ht="12.75" hidden="1" customHeight="1">
      <c r="B101" s="96"/>
      <c r="C101" s="261"/>
      <c r="D101" s="104"/>
      <c r="E101" s="36"/>
      <c r="F101" s="104"/>
      <c r="G101" s="267">
        <f t="shared" si="5"/>
        <v>0</v>
      </c>
    </row>
    <row r="102" spans="2:83" ht="12.75" hidden="1" customHeight="1">
      <c r="B102" s="96"/>
      <c r="C102" s="261"/>
      <c r="D102" s="104"/>
      <c r="E102" s="36"/>
      <c r="F102" s="104"/>
      <c r="G102" s="267">
        <f t="shared" si="5"/>
        <v>0</v>
      </c>
    </row>
    <row r="103" spans="2:83">
      <c r="B103" s="96"/>
      <c r="C103" s="261"/>
      <c r="D103" s="104"/>
      <c r="E103" s="104"/>
      <c r="F103" s="104"/>
      <c r="G103" s="267">
        <f t="shared" si="5"/>
        <v>0</v>
      </c>
      <c r="H103" s="35" t="s">
        <v>149</v>
      </c>
    </row>
    <row r="104" spans="2:83" ht="13.5" thickBot="1">
      <c r="B104" s="365" t="s">
        <v>322</v>
      </c>
      <c r="C104" s="363"/>
      <c r="D104" s="106"/>
      <c r="E104" s="106"/>
      <c r="F104" s="106"/>
      <c r="G104" s="268">
        <f>C104</f>
        <v>0</v>
      </c>
    </row>
    <row r="105" spans="2:83">
      <c r="G105" s="238"/>
      <c r="I105" s="124"/>
    </row>
    <row r="107" spans="2:83" s="84" customFormat="1">
      <c r="B107" s="45" t="s">
        <v>275</v>
      </c>
      <c r="C107" s="262"/>
      <c r="D107" s="151"/>
      <c r="E107" s="91" t="s">
        <v>393</v>
      </c>
      <c r="F107" s="93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</row>
    <row r="108" spans="2:83" s="84" customFormat="1">
      <c r="C108" s="239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</row>
    <row r="109" spans="2:83" s="84" customFormat="1">
      <c r="C109" s="239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</row>
    <row r="110" spans="2:83" s="84" customFormat="1">
      <c r="B110" s="35" t="s">
        <v>239</v>
      </c>
      <c r="C110" s="262"/>
      <c r="D110" s="150"/>
      <c r="E110" s="84" t="s">
        <v>394</v>
      </c>
      <c r="F110" s="93" t="s">
        <v>139</v>
      </c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</row>
    <row r="111" spans="2:83" s="84" customFormat="1">
      <c r="C111" s="239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</row>
  </sheetData>
  <mergeCells count="6">
    <mergeCell ref="B56:G56"/>
    <mergeCell ref="B84:G84"/>
    <mergeCell ref="F1:G1"/>
    <mergeCell ref="B2:G2"/>
    <mergeCell ref="B28:B30"/>
    <mergeCell ref="B31:B34"/>
  </mergeCells>
  <pageMargins left="0" right="0" top="0.7480314960629921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D39"/>
  <sheetViews>
    <sheetView topLeftCell="A22" workbookViewId="0">
      <selection activeCell="D38" sqref="D38"/>
    </sheetView>
  </sheetViews>
  <sheetFormatPr defaultColWidth="9.140625" defaultRowHeight="12.75"/>
  <cols>
    <col min="1" max="1" width="23.42578125" style="35" customWidth="1"/>
    <col min="2" max="2" width="16.85546875" style="35" customWidth="1"/>
    <col min="3" max="3" width="12.85546875" style="35" customWidth="1"/>
    <col min="4" max="4" width="14.5703125" style="35" customWidth="1"/>
    <col min="5" max="5" width="13" style="35" customWidth="1"/>
    <col min="6" max="6" width="12" style="35" customWidth="1"/>
    <col min="7" max="16384" width="9.140625" style="35"/>
  </cols>
  <sheetData>
    <row r="1" spans="1:6">
      <c r="E1" s="499" t="s">
        <v>163</v>
      </c>
      <c r="F1" s="499"/>
    </row>
    <row r="2" spans="1:6" ht="18.75">
      <c r="A2" s="537" t="s">
        <v>164</v>
      </c>
      <c r="B2" s="537"/>
      <c r="C2" s="537"/>
      <c r="D2" s="537"/>
      <c r="E2" s="537"/>
      <c r="F2" s="537"/>
    </row>
    <row r="3" spans="1:6" s="101" customFormat="1">
      <c r="A3" s="100"/>
      <c r="B3" s="100"/>
      <c r="C3" s="100"/>
      <c r="D3" s="100"/>
      <c r="E3" s="100"/>
      <c r="F3" s="100"/>
    </row>
    <row r="4" spans="1:6" ht="13.5" thickBot="1">
      <c r="A4" s="100"/>
      <c r="B4" s="100"/>
      <c r="C4" s="100"/>
      <c r="D4" s="100"/>
      <c r="E4" s="100"/>
      <c r="F4" s="100"/>
    </row>
    <row r="5" spans="1:6" s="49" customFormat="1" ht="25.5">
      <c r="A5" s="110"/>
      <c r="B5" s="111" t="s">
        <v>145</v>
      </c>
      <c r="C5" s="111" t="s">
        <v>146</v>
      </c>
      <c r="D5" s="111" t="s">
        <v>117</v>
      </c>
      <c r="E5" s="64" t="s">
        <v>118</v>
      </c>
      <c r="F5" s="112" t="s">
        <v>147</v>
      </c>
    </row>
    <row r="6" spans="1:6">
      <c r="A6" s="125" t="s">
        <v>165</v>
      </c>
      <c r="B6" s="36"/>
      <c r="C6" s="36"/>
      <c r="D6" s="36"/>
      <c r="E6" s="36">
        <v>1</v>
      </c>
      <c r="F6" s="113">
        <f>ROUND(B6*C6*D6*E6,2)</f>
        <v>0</v>
      </c>
    </row>
    <row r="7" spans="1:6">
      <c r="A7" s="125" t="s">
        <v>166</v>
      </c>
      <c r="B7" s="36"/>
      <c r="C7" s="36"/>
      <c r="D7" s="36"/>
      <c r="E7" s="36">
        <v>1</v>
      </c>
      <c r="F7" s="113">
        <f>ROUND(B7*C7*D7*E7,2)</f>
        <v>0</v>
      </c>
    </row>
    <row r="8" spans="1:6" ht="13.5" thickBot="1">
      <c r="A8" s="105"/>
      <c r="B8" s="106"/>
      <c r="C8" s="106"/>
      <c r="D8" s="106"/>
      <c r="E8" s="106"/>
      <c r="F8" s="107"/>
    </row>
    <row r="9" spans="1:6" ht="32.25" customHeight="1">
      <c r="A9" s="537" t="s">
        <v>168</v>
      </c>
      <c r="B9" s="541"/>
      <c r="C9" s="541"/>
      <c r="D9" s="541"/>
      <c r="E9" s="541"/>
      <c r="F9" s="541"/>
    </row>
    <row r="10" spans="1:6" ht="13.5" thickBot="1">
      <c r="A10" s="49"/>
    </row>
    <row r="11" spans="1:6" ht="25.5">
      <c r="A11" s="110"/>
      <c r="B11" s="111" t="s">
        <v>145</v>
      </c>
      <c r="C11" s="111" t="s">
        <v>146</v>
      </c>
      <c r="D11" s="111" t="s">
        <v>117</v>
      </c>
      <c r="E11" s="64" t="s">
        <v>118</v>
      </c>
      <c r="F11" s="112" t="s">
        <v>147</v>
      </c>
    </row>
    <row r="12" spans="1:6">
      <c r="A12" s="125" t="s">
        <v>169</v>
      </c>
      <c r="B12" s="36"/>
      <c r="C12" s="36"/>
      <c r="D12" s="36"/>
      <c r="E12" s="36">
        <v>1</v>
      </c>
      <c r="F12" s="113">
        <f>ROUND(B12*C12*D12*E12,2)</f>
        <v>0</v>
      </c>
    </row>
    <row r="13" spans="1:6">
      <c r="A13" s="125" t="s">
        <v>170</v>
      </c>
      <c r="B13" s="36"/>
      <c r="C13" s="36"/>
      <c r="D13" s="36"/>
      <c r="E13" s="36">
        <v>1</v>
      </c>
      <c r="F13" s="113">
        <f>ROUND(B13*C13*D13*E13,2)</f>
        <v>0</v>
      </c>
    </row>
    <row r="14" spans="1:6">
      <c r="A14" s="125" t="s">
        <v>171</v>
      </c>
      <c r="B14" s="36"/>
      <c r="C14" s="36"/>
      <c r="D14" s="36"/>
      <c r="E14" s="36">
        <v>1</v>
      </c>
      <c r="F14" s="113">
        <f>ROUND(B14*C14*D14*E14,2)</f>
        <v>0</v>
      </c>
    </row>
    <row r="15" spans="1:6" ht="13.5" thickBot="1">
      <c r="A15" s="83" t="s">
        <v>156</v>
      </c>
      <c r="B15" s="106"/>
      <c r="C15" s="106"/>
      <c r="D15" s="106"/>
      <c r="E15" s="106"/>
      <c r="F15" s="107">
        <f>F12+F13+F14</f>
        <v>0</v>
      </c>
    </row>
    <row r="16" spans="1:6">
      <c r="A16" s="49"/>
    </row>
    <row r="17" spans="1:6">
      <c r="A17" s="49"/>
    </row>
    <row r="18" spans="1:6" ht="37.5" customHeight="1">
      <c r="A18" s="542" t="s">
        <v>172</v>
      </c>
      <c r="B18" s="543"/>
      <c r="C18" s="543"/>
      <c r="D18" s="543"/>
      <c r="E18" s="543"/>
      <c r="F18" s="544"/>
    </row>
    <row r="19" spans="1:6">
      <c r="A19" s="126"/>
    </row>
    <row r="20" spans="1:6" ht="13.5" thickBot="1">
      <c r="A20" s="126"/>
    </row>
    <row r="21" spans="1:6" ht="51">
      <c r="A21" s="127"/>
      <c r="B21" s="111" t="s">
        <v>173</v>
      </c>
      <c r="C21" s="111" t="s">
        <v>174</v>
      </c>
      <c r="D21" s="111"/>
      <c r="E21" s="111"/>
      <c r="F21" s="112" t="s">
        <v>175</v>
      </c>
    </row>
    <row r="22" spans="1:6">
      <c r="A22" s="125" t="s">
        <v>176</v>
      </c>
      <c r="B22" s="36"/>
      <c r="C22" s="36">
        <v>1</v>
      </c>
      <c r="D22" s="36"/>
      <c r="E22" s="36"/>
      <c r="F22" s="113">
        <f>ROUND(B22*C22,2)</f>
        <v>0</v>
      </c>
    </row>
    <row r="23" spans="1:6" ht="13.5" thickBot="1">
      <c r="A23" s="128"/>
      <c r="B23" s="106"/>
      <c r="C23" s="106"/>
      <c r="D23" s="106"/>
      <c r="E23" s="106"/>
      <c r="F23" s="107">
        <f>ROUND(B23*C23*D23*E23,2)</f>
        <v>0</v>
      </c>
    </row>
    <row r="26" spans="1:6" ht="18.75">
      <c r="A26" s="535" t="s">
        <v>177</v>
      </c>
      <c r="B26" s="536"/>
      <c r="C26" s="536"/>
      <c r="D26" s="536"/>
      <c r="E26" s="536"/>
      <c r="F26" s="536"/>
    </row>
    <row r="27" spans="1:6" ht="13.5" thickBot="1"/>
    <row r="28" spans="1:6" ht="25.5">
      <c r="A28" s="110"/>
      <c r="B28" s="111" t="s">
        <v>145</v>
      </c>
      <c r="C28" s="111" t="s">
        <v>146</v>
      </c>
      <c r="D28" s="111" t="s">
        <v>117</v>
      </c>
      <c r="E28" s="64" t="s">
        <v>118</v>
      </c>
      <c r="F28" s="112" t="s">
        <v>147</v>
      </c>
    </row>
    <row r="29" spans="1:6">
      <c r="A29" s="67"/>
      <c r="B29" s="36"/>
      <c r="C29" s="36"/>
      <c r="D29" s="36"/>
      <c r="E29" s="36"/>
      <c r="F29" s="113">
        <f>ROUND(B29*C29*D29*E29,2)</f>
        <v>0</v>
      </c>
    </row>
    <row r="30" spans="1:6">
      <c r="A30" s="67"/>
      <c r="B30" s="36"/>
      <c r="C30" s="36"/>
      <c r="D30" s="36"/>
      <c r="E30" s="36"/>
      <c r="F30" s="113">
        <f>ROUND(B30*C30*D30*E30,2)</f>
        <v>0</v>
      </c>
    </row>
    <row r="31" spans="1:6" ht="13.5" thickBot="1">
      <c r="A31" s="83"/>
      <c r="B31" s="106"/>
      <c r="C31" s="106"/>
      <c r="D31" s="106"/>
      <c r="E31" s="106"/>
      <c r="F31" s="107">
        <f>ROUND(B31*C31*D31*E31,2)</f>
        <v>0</v>
      </c>
    </row>
    <row r="35" spans="1:82" s="84" customFormat="1">
      <c r="A35" s="45" t="s">
        <v>275</v>
      </c>
      <c r="B35" s="150"/>
      <c r="C35" s="151"/>
      <c r="D35" s="337"/>
      <c r="E35" s="93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</row>
    <row r="36" spans="1:82" s="84" customFormat="1"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</row>
    <row r="37" spans="1:82" s="84" customFormat="1"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</row>
    <row r="38" spans="1:82" s="84" customFormat="1">
      <c r="A38" s="35" t="s">
        <v>239</v>
      </c>
      <c r="B38" s="150"/>
      <c r="C38" s="150"/>
      <c r="D38" s="337"/>
      <c r="E38" s="93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</row>
    <row r="39" spans="1:82" s="84" customFormat="1"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</row>
  </sheetData>
  <mergeCells count="5">
    <mergeCell ref="E1:F1"/>
    <mergeCell ref="A2:F2"/>
    <mergeCell ref="A9:F9"/>
    <mergeCell ref="A18:F18"/>
    <mergeCell ref="A26:F2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CD29"/>
  <sheetViews>
    <sheetView view="pageBreakPreview" topLeftCell="A11" zoomScaleSheetLayoutView="100" workbookViewId="0">
      <selection activeCell="G31" sqref="G31"/>
    </sheetView>
  </sheetViews>
  <sheetFormatPr defaultColWidth="9.140625" defaultRowHeight="12.75"/>
  <cols>
    <col min="1" max="1" width="3.140625" style="35" customWidth="1"/>
    <col min="2" max="2" width="27.7109375" style="126" customWidth="1"/>
    <col min="3" max="3" width="10.85546875" style="126" customWidth="1"/>
    <col min="4" max="4" width="13.42578125" style="35" customWidth="1"/>
    <col min="5" max="5" width="13.5703125" style="35" customWidth="1"/>
    <col min="6" max="6" width="10.28515625" style="35" customWidth="1"/>
    <col min="7" max="7" width="15.42578125" style="35" customWidth="1"/>
    <col min="8" max="8" width="10.28515625" style="35" customWidth="1"/>
    <col min="9" max="9" width="13" style="35" customWidth="1"/>
    <col min="10" max="10" width="11.7109375" style="35" bestFit="1" customWidth="1"/>
    <col min="11" max="11" width="14.7109375" style="35" customWidth="1"/>
    <col min="12" max="12" width="15.85546875" style="35" customWidth="1"/>
    <col min="13" max="16384" width="9.140625" style="35"/>
  </cols>
  <sheetData>
    <row r="1" spans="2:12">
      <c r="G1" s="92"/>
    </row>
    <row r="2" spans="2:12" ht="15">
      <c r="B2" s="545" t="s">
        <v>221</v>
      </c>
      <c r="C2" s="545"/>
      <c r="D2" s="545"/>
      <c r="E2" s="545"/>
      <c r="F2" s="545"/>
      <c r="G2" s="545"/>
    </row>
    <row r="4" spans="2:12" ht="13.5" thickBot="1"/>
    <row r="5" spans="2:12" s="49" customFormat="1" ht="84.75" customHeight="1">
      <c r="B5" s="127"/>
      <c r="C5" s="279" t="s">
        <v>222</v>
      </c>
      <c r="D5" s="111" t="s">
        <v>174</v>
      </c>
      <c r="E5" s="111" t="s">
        <v>223</v>
      </c>
      <c r="F5" s="136" t="s">
        <v>118</v>
      </c>
      <c r="G5" s="111" t="s">
        <v>224</v>
      </c>
      <c r="H5" s="136" t="s">
        <v>283</v>
      </c>
      <c r="I5" s="112" t="s">
        <v>224</v>
      </c>
    </row>
    <row r="6" spans="2:12">
      <c r="B6" s="309" t="s">
        <v>209</v>
      </c>
      <c r="C6" s="277" t="s">
        <v>225</v>
      </c>
      <c r="D6" s="231">
        <f>425+164.113</f>
        <v>589.11300000000006</v>
      </c>
      <c r="E6" s="231">
        <v>24.86</v>
      </c>
      <c r="F6" s="137">
        <v>1</v>
      </c>
      <c r="G6" s="278">
        <f>ROUND(D6*E6*F6,2)</f>
        <v>14645.35</v>
      </c>
      <c r="H6" s="137">
        <v>1</v>
      </c>
      <c r="I6" s="292">
        <f>ROUND(G6*H6,2)</f>
        <v>14645.35</v>
      </c>
      <c r="J6" s="316"/>
      <c r="K6" s="317"/>
      <c r="L6" s="318"/>
    </row>
    <row r="7" spans="2:12">
      <c r="B7" s="309" t="s">
        <v>209</v>
      </c>
      <c r="C7" s="277" t="s">
        <v>225</v>
      </c>
      <c r="D7" s="231">
        <f>2540+885.542</f>
        <v>3425.5419999999999</v>
      </c>
      <c r="E7" s="231">
        <v>25.28</v>
      </c>
      <c r="F7" s="137">
        <v>1</v>
      </c>
      <c r="G7" s="278">
        <f>ROUND(D7*E7*F7,2)</f>
        <v>86597.7</v>
      </c>
      <c r="H7" s="137">
        <v>1</v>
      </c>
      <c r="I7" s="280">
        <f>ROUND(G7*H7,2)</f>
        <v>86597.7</v>
      </c>
      <c r="J7" s="109"/>
      <c r="K7" s="317"/>
      <c r="L7" s="318"/>
    </row>
    <row r="8" spans="2:12" ht="13.5" customHeight="1">
      <c r="B8" s="309" t="s">
        <v>209</v>
      </c>
      <c r="C8" s="277" t="s">
        <v>225</v>
      </c>
      <c r="D8" s="231">
        <f>1778+699.656</f>
        <v>2477.6559999999999</v>
      </c>
      <c r="E8" s="231">
        <v>25.72</v>
      </c>
      <c r="F8" s="137">
        <v>1</v>
      </c>
      <c r="G8" s="278">
        <f t="shared" ref="G8:G9" si="0">ROUND(D8*E8*F8,2)</f>
        <v>63725.31</v>
      </c>
      <c r="H8" s="137">
        <v>1</v>
      </c>
      <c r="I8" s="280">
        <f t="shared" ref="I8:I19" si="1">ROUND(G8*H8,2)</f>
        <v>63725.31</v>
      </c>
      <c r="J8" s="109"/>
      <c r="K8" s="317"/>
      <c r="L8" s="318"/>
    </row>
    <row r="9" spans="2:12">
      <c r="B9" s="309" t="s">
        <v>210</v>
      </c>
      <c r="C9" s="277" t="s">
        <v>225</v>
      </c>
      <c r="D9" s="343">
        <v>656.11300000000006</v>
      </c>
      <c r="E9" s="231">
        <v>16.260000000000002</v>
      </c>
      <c r="F9" s="137">
        <v>1</v>
      </c>
      <c r="G9" s="278">
        <f t="shared" si="0"/>
        <v>10668.4</v>
      </c>
      <c r="H9" s="137">
        <v>1</v>
      </c>
      <c r="I9" s="280">
        <f t="shared" si="1"/>
        <v>10668.4</v>
      </c>
      <c r="J9" s="109"/>
      <c r="K9" s="317"/>
      <c r="L9" s="318"/>
    </row>
    <row r="10" spans="2:12">
      <c r="B10" s="309" t="s">
        <v>210</v>
      </c>
      <c r="C10" s="277" t="s">
        <v>225</v>
      </c>
      <c r="D10" s="343">
        <v>3880.4920000000002</v>
      </c>
      <c r="E10" s="231">
        <v>16.54</v>
      </c>
      <c r="F10" s="137">
        <v>1</v>
      </c>
      <c r="G10" s="278">
        <f>D10*E10*F10</f>
        <v>64183.337679999997</v>
      </c>
      <c r="H10" s="137">
        <v>1</v>
      </c>
      <c r="I10" s="280">
        <f t="shared" si="1"/>
        <v>64183.34</v>
      </c>
      <c r="J10" s="109"/>
      <c r="K10" s="317"/>
      <c r="L10" s="318"/>
    </row>
    <row r="11" spans="2:12" ht="12.75" customHeight="1">
      <c r="B11" s="309" t="s">
        <v>210</v>
      </c>
      <c r="C11" s="277" t="s">
        <v>225</v>
      </c>
      <c r="D11" s="231">
        <v>2717.3560000000002</v>
      </c>
      <c r="E11" s="231">
        <v>16.899999999999999</v>
      </c>
      <c r="F11" s="137">
        <v>1</v>
      </c>
      <c r="G11" s="290">
        <f>ROUND(D11*E11*F11,2)</f>
        <v>45923.32</v>
      </c>
      <c r="H11" s="137">
        <v>1</v>
      </c>
      <c r="I11" s="280">
        <f>ROUND(G11*H11,2)</f>
        <v>45923.32</v>
      </c>
      <c r="J11" s="109"/>
      <c r="K11" s="317"/>
      <c r="L11" s="318"/>
    </row>
    <row r="12" spans="2:12" s="313" customFormat="1">
      <c r="B12" s="289" t="s">
        <v>226</v>
      </c>
      <c r="C12" s="310" t="s">
        <v>225</v>
      </c>
      <c r="D12" s="343">
        <f>67</f>
        <v>67</v>
      </c>
      <c r="E12" s="231">
        <v>34.72</v>
      </c>
      <c r="F12" s="312">
        <v>1</v>
      </c>
      <c r="G12" s="290">
        <f>ROUND(D12*E12,2)-0.47</f>
        <v>2325.77</v>
      </c>
      <c r="H12" s="312">
        <v>1</v>
      </c>
      <c r="I12" s="280">
        <f t="shared" si="1"/>
        <v>2325.77</v>
      </c>
      <c r="J12" s="109"/>
      <c r="K12" s="317"/>
      <c r="L12" s="318"/>
    </row>
    <row r="13" spans="2:12" s="313" customFormat="1" ht="12.75" customHeight="1">
      <c r="B13" s="289" t="s">
        <v>226</v>
      </c>
      <c r="C13" s="310" t="s">
        <v>225</v>
      </c>
      <c r="D13" s="343">
        <v>712.51</v>
      </c>
      <c r="E13" s="231">
        <v>35.299999999999997</v>
      </c>
      <c r="F13" s="312">
        <v>1</v>
      </c>
      <c r="G13" s="290">
        <f>ROUND(D13*E13*F13,2)-0.06</f>
        <v>25151.539999999997</v>
      </c>
      <c r="H13" s="312">
        <v>1</v>
      </c>
      <c r="I13" s="280">
        <f>ROUND(G13*H13,2)</f>
        <v>25151.54</v>
      </c>
      <c r="J13" s="109"/>
      <c r="K13" s="317"/>
      <c r="L13" s="318"/>
    </row>
    <row r="14" spans="2:12" s="313" customFormat="1" ht="28.5" customHeight="1">
      <c r="B14" s="309" t="s">
        <v>385</v>
      </c>
      <c r="C14" s="310"/>
      <c r="D14" s="343">
        <v>1</v>
      </c>
      <c r="E14" s="231">
        <v>133740</v>
      </c>
      <c r="F14" s="312">
        <v>1</v>
      </c>
      <c r="G14" s="290">
        <f>D14*E14*F14</f>
        <v>133740</v>
      </c>
      <c r="H14" s="312">
        <v>1</v>
      </c>
      <c r="I14" s="280">
        <f>ROUND(G14*H14,2)</f>
        <v>133740</v>
      </c>
      <c r="J14" s="316"/>
      <c r="K14" s="317"/>
      <c r="L14" s="318"/>
    </row>
    <row r="15" spans="2:12" s="313" customFormat="1" ht="25.5">
      <c r="B15" s="309" t="s">
        <v>277</v>
      </c>
      <c r="C15" s="310" t="s">
        <v>227</v>
      </c>
      <c r="D15" s="294"/>
      <c r="E15" s="231"/>
      <c r="F15" s="312">
        <v>1</v>
      </c>
      <c r="G15" s="290">
        <f>D15*E15*F15</f>
        <v>0</v>
      </c>
      <c r="H15" s="312">
        <v>1</v>
      </c>
      <c r="I15" s="280">
        <f>ROUND(G15*H15,2)</f>
        <v>0</v>
      </c>
      <c r="J15" s="109"/>
      <c r="K15" s="317"/>
      <c r="L15" s="318"/>
    </row>
    <row r="16" spans="2:12" s="313" customFormat="1">
      <c r="B16" s="289" t="s">
        <v>211</v>
      </c>
      <c r="C16" s="314" t="s">
        <v>227</v>
      </c>
      <c r="D16" s="294">
        <f>3.2+104.2+10.464</f>
        <v>117.864</v>
      </c>
      <c r="E16" s="231">
        <v>1703.39</v>
      </c>
      <c r="F16" s="312">
        <v>1</v>
      </c>
      <c r="G16" s="290">
        <f t="shared" ref="G16:G21" si="2">ROUND(D16*E16*F16,2)</f>
        <v>200768.36</v>
      </c>
      <c r="H16" s="312">
        <v>0.5</v>
      </c>
      <c r="I16" s="280">
        <f t="shared" si="1"/>
        <v>100384.18</v>
      </c>
      <c r="J16" s="109"/>
      <c r="K16" s="317"/>
      <c r="L16" s="318"/>
    </row>
    <row r="17" spans="2:82" s="313" customFormat="1">
      <c r="B17" s="289" t="s">
        <v>211</v>
      </c>
      <c r="C17" s="314" t="s">
        <v>227</v>
      </c>
      <c r="D17" s="294">
        <f>25.7+568.5+50.913</f>
        <v>645.11300000000006</v>
      </c>
      <c r="E17" s="231">
        <v>1732.26</v>
      </c>
      <c r="F17" s="312">
        <v>1</v>
      </c>
      <c r="G17" s="290">
        <f t="shared" si="2"/>
        <v>1117503.45</v>
      </c>
      <c r="H17" s="312">
        <v>1</v>
      </c>
      <c r="I17" s="280">
        <f>ROUND(G17*H17,2)</f>
        <v>1117503.45</v>
      </c>
      <c r="J17" s="109"/>
      <c r="K17" s="317"/>
      <c r="L17" s="318"/>
    </row>
    <row r="18" spans="2:82" s="313" customFormat="1">
      <c r="B18" s="289" t="s">
        <v>211</v>
      </c>
      <c r="C18" s="314" t="s">
        <v>227</v>
      </c>
      <c r="D18" s="294">
        <f>11+226.8+35.711</f>
        <v>273.51100000000002</v>
      </c>
      <c r="E18" s="231">
        <v>1760.99</v>
      </c>
      <c r="F18" s="312">
        <v>1</v>
      </c>
      <c r="G18" s="290">
        <f t="shared" si="2"/>
        <v>481650.14</v>
      </c>
      <c r="H18" s="312">
        <v>1</v>
      </c>
      <c r="I18" s="280">
        <f>ROUND(G18*H18,2)</f>
        <v>481650.14</v>
      </c>
      <c r="J18" s="109"/>
      <c r="K18" s="317"/>
      <c r="L18" s="318"/>
    </row>
    <row r="19" spans="2:82" s="313" customFormat="1" hidden="1">
      <c r="B19" s="309" t="s">
        <v>282</v>
      </c>
      <c r="C19" s="314" t="s">
        <v>228</v>
      </c>
      <c r="D19" s="344"/>
      <c r="E19" s="231"/>
      <c r="F19" s="312">
        <v>1</v>
      </c>
      <c r="G19" s="290">
        <f t="shared" si="2"/>
        <v>0</v>
      </c>
      <c r="H19" s="312">
        <v>1</v>
      </c>
      <c r="I19" s="280">
        <f t="shared" si="1"/>
        <v>0</v>
      </c>
      <c r="J19" s="109"/>
      <c r="K19" s="317"/>
      <c r="L19" s="318"/>
    </row>
    <row r="20" spans="2:82" s="313" customFormat="1" hidden="1">
      <c r="B20" s="309" t="s">
        <v>282</v>
      </c>
      <c r="C20" s="314" t="s">
        <v>228</v>
      </c>
      <c r="D20" s="315"/>
      <c r="E20" s="311"/>
      <c r="F20" s="312">
        <v>1</v>
      </c>
      <c r="G20" s="290">
        <f t="shared" si="2"/>
        <v>0</v>
      </c>
      <c r="H20" s="312">
        <v>1</v>
      </c>
      <c r="I20" s="280">
        <f>ROUND(G20*H20,2)</f>
        <v>0</v>
      </c>
      <c r="J20" s="109"/>
      <c r="K20" s="317"/>
      <c r="L20" s="318"/>
    </row>
    <row r="21" spans="2:82" s="313" customFormat="1" ht="13.5" thickBot="1">
      <c r="B21" s="320" t="s">
        <v>282</v>
      </c>
      <c r="C21" s="321" t="s">
        <v>228</v>
      </c>
      <c r="D21" s="322">
        <v>177457.28</v>
      </c>
      <c r="E21" s="323">
        <v>6.5</v>
      </c>
      <c r="F21" s="324">
        <v>1</v>
      </c>
      <c r="G21" s="325">
        <f t="shared" si="2"/>
        <v>1153472.32</v>
      </c>
      <c r="H21" s="324">
        <v>1</v>
      </c>
      <c r="I21" s="326">
        <f t="shared" ref="I21" si="3">ROUND(G21*H21,2)</f>
        <v>1153472.32</v>
      </c>
      <c r="J21" s="109"/>
      <c r="K21" s="317"/>
      <c r="L21" s="318"/>
    </row>
    <row r="22" spans="2:82">
      <c r="D22" s="44"/>
      <c r="G22" s="44"/>
      <c r="I22" s="44"/>
      <c r="J22" s="109"/>
      <c r="K22" s="109"/>
      <c r="L22" s="109"/>
    </row>
    <row r="23" spans="2:82">
      <c r="D23" s="44"/>
      <c r="G23" s="44"/>
      <c r="J23" s="109"/>
      <c r="K23" s="319"/>
      <c r="L23" s="319"/>
    </row>
    <row r="24" spans="2:82">
      <c r="D24" s="44"/>
      <c r="I24" s="44"/>
      <c r="J24" s="44"/>
    </row>
    <row r="25" spans="2:82" s="84" customFormat="1">
      <c r="B25" s="45" t="s">
        <v>275</v>
      </c>
      <c r="C25" s="150"/>
      <c r="D25" s="151"/>
      <c r="E25" s="91" t="s">
        <v>393</v>
      </c>
      <c r="F25" s="93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</row>
    <row r="26" spans="2:82" s="84" customFormat="1"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</row>
    <row r="27" spans="2:82" s="84" customFormat="1"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</row>
    <row r="28" spans="2:82" s="84" customFormat="1">
      <c r="B28" s="35" t="s">
        <v>239</v>
      </c>
      <c r="C28" s="150"/>
      <c r="D28" s="150"/>
      <c r="E28" s="84" t="s">
        <v>394</v>
      </c>
      <c r="F28" s="93"/>
      <c r="H28" s="86"/>
      <c r="I28" s="86"/>
      <c r="J28" s="86"/>
      <c r="K28" s="27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</row>
    <row r="29" spans="2:82" s="84" customFormat="1"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</row>
  </sheetData>
  <mergeCells count="1">
    <mergeCell ref="B2:G2"/>
  </mergeCells>
  <pageMargins left="0" right="0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CE36"/>
  <sheetViews>
    <sheetView view="pageBreakPreview" topLeftCell="A2" zoomScaleSheetLayoutView="100" workbookViewId="0">
      <selection activeCell="G12" sqref="G12"/>
    </sheetView>
  </sheetViews>
  <sheetFormatPr defaultColWidth="9.140625" defaultRowHeight="12.75"/>
  <cols>
    <col min="1" max="1" width="0.140625" style="35" customWidth="1"/>
    <col min="2" max="2" width="23" style="35" customWidth="1"/>
    <col min="3" max="3" width="15.7109375" style="35" customWidth="1"/>
    <col min="4" max="4" width="14.140625" style="35" customWidth="1"/>
    <col min="5" max="5" width="16.7109375" style="35" customWidth="1"/>
    <col min="6" max="6" width="9.140625" style="35"/>
    <col min="7" max="7" width="13.28515625" style="35" customWidth="1"/>
    <col min="8" max="16384" width="9.140625" style="35"/>
  </cols>
  <sheetData>
    <row r="1" spans="2:7">
      <c r="F1" s="546" t="s">
        <v>229</v>
      </c>
      <c r="G1" s="546"/>
    </row>
    <row r="2" spans="2:7" ht="25.5" customHeight="1">
      <c r="B2" s="535" t="s">
        <v>230</v>
      </c>
      <c r="C2" s="499"/>
      <c r="D2" s="499"/>
      <c r="E2" s="499"/>
    </row>
    <row r="3" spans="2:7" ht="18.75">
      <c r="B3" s="123"/>
      <c r="C3" s="92"/>
      <c r="D3" s="92"/>
      <c r="E3" s="92"/>
    </row>
    <row r="4" spans="2:7" ht="19.5" thickBot="1">
      <c r="B4" s="123"/>
      <c r="C4" s="92"/>
      <c r="D4" s="92"/>
      <c r="E4" s="92"/>
    </row>
    <row r="5" spans="2:7" s="140" customFormat="1" ht="48" customHeight="1">
      <c r="B5" s="138"/>
      <c r="C5" s="64" t="s">
        <v>231</v>
      </c>
      <c r="D5" s="139" t="s">
        <v>232</v>
      </c>
      <c r="E5" s="65" t="s">
        <v>230</v>
      </c>
    </row>
    <row r="6" spans="2:7" ht="15">
      <c r="B6" s="141" t="s">
        <v>233</v>
      </c>
      <c r="C6" s="152">
        <v>5451181.8200000003</v>
      </c>
      <c r="D6" s="142">
        <v>2.1999999999999999E-2</v>
      </c>
      <c r="E6" s="143">
        <f>ROUND(C6*D6,0)</f>
        <v>119926</v>
      </c>
    </row>
    <row r="7" spans="2:7" ht="15">
      <c r="B7" s="141"/>
      <c r="C7" s="152"/>
      <c r="D7" s="142"/>
      <c r="E7" s="143"/>
    </row>
    <row r="8" spans="2:7" ht="15">
      <c r="B8" s="141" t="s">
        <v>234</v>
      </c>
      <c r="C8" s="152">
        <v>26368536.100000001</v>
      </c>
      <c r="D8" s="142">
        <v>1.4999999999999999E-2</v>
      </c>
      <c r="E8" s="143">
        <f>ROUND(C8*D8,0)</f>
        <v>395528</v>
      </c>
    </row>
    <row r="9" spans="2:7" ht="15">
      <c r="B9" s="144"/>
      <c r="C9" s="152"/>
      <c r="D9" s="142"/>
      <c r="E9" s="143"/>
    </row>
    <row r="10" spans="2:7" ht="15" hidden="1">
      <c r="B10" s="145" t="s">
        <v>217</v>
      </c>
      <c r="C10" s="41"/>
      <c r="D10" s="142"/>
      <c r="E10" s="143">
        <f>ROUND(C10*D10,2)</f>
        <v>0</v>
      </c>
    </row>
    <row r="11" spans="2:7" ht="15" hidden="1">
      <c r="B11" s="145" t="s">
        <v>218</v>
      </c>
      <c r="C11" s="41"/>
      <c r="D11" s="142"/>
      <c r="E11" s="143">
        <f>ROUND(C11*D11,2)</f>
        <v>0</v>
      </c>
    </row>
    <row r="12" spans="2:7" ht="15.75" thickBot="1">
      <c r="B12" s="146" t="s">
        <v>219</v>
      </c>
      <c r="C12" s="153">
        <v>800</v>
      </c>
      <c r="D12" s="106">
        <v>1</v>
      </c>
      <c r="E12" s="154">
        <f>ROUND(C12*D12,2)</f>
        <v>800</v>
      </c>
    </row>
    <row r="15" spans="2:7" hidden="1"/>
    <row r="16" spans="2:7" s="349" customFormat="1" ht="15" hidden="1">
      <c r="B16" s="547" t="s">
        <v>221</v>
      </c>
      <c r="C16" s="547"/>
      <c r="D16" s="547"/>
      <c r="E16" s="547"/>
      <c r="F16" s="547"/>
      <c r="G16" s="547"/>
    </row>
    <row r="17" spans="2:83" s="349" customFormat="1" hidden="1"/>
    <row r="18" spans="2:83" s="349" customFormat="1" ht="13.5" hidden="1" thickBot="1"/>
    <row r="19" spans="2:83" s="349" customFormat="1" ht="120" hidden="1">
      <c r="B19" s="350"/>
      <c r="C19" s="351" t="s">
        <v>222</v>
      </c>
      <c r="D19" s="352" t="s">
        <v>174</v>
      </c>
      <c r="E19" s="352" t="s">
        <v>223</v>
      </c>
      <c r="F19" s="353" t="s">
        <v>284</v>
      </c>
      <c r="G19" s="354" t="s">
        <v>224</v>
      </c>
    </row>
    <row r="20" spans="2:83" s="349" customFormat="1" hidden="1">
      <c r="B20" s="355" t="s">
        <v>211</v>
      </c>
      <c r="C20" s="356" t="s">
        <v>227</v>
      </c>
      <c r="D20" s="357">
        <f>прил.5!D16</f>
        <v>117.864</v>
      </c>
      <c r="E20" s="357">
        <f>прил.5!E16</f>
        <v>1703.39</v>
      </c>
      <c r="F20" s="358">
        <v>0</v>
      </c>
      <c r="G20" s="359">
        <f>прил.5!G16-прил.5!I16</f>
        <v>100384.18</v>
      </c>
    </row>
    <row r="21" spans="2:83" s="349" customFormat="1" hidden="1">
      <c r="B21" s="355" t="s">
        <v>211</v>
      </c>
      <c r="C21" s="356" t="s">
        <v>227</v>
      </c>
      <c r="D21" s="357">
        <f>прил.5!D17</f>
        <v>645.11300000000006</v>
      </c>
      <c r="E21" s="357">
        <f>прил.5!E17</f>
        <v>1732.26</v>
      </c>
      <c r="F21" s="358">
        <v>0</v>
      </c>
      <c r="G21" s="359">
        <f>прил.5!G17-прил.5!I17</f>
        <v>0</v>
      </c>
    </row>
    <row r="22" spans="2:83" s="349" customFormat="1" hidden="1">
      <c r="B22" s="355" t="s">
        <v>211</v>
      </c>
      <c r="C22" s="356" t="s">
        <v>227</v>
      </c>
      <c r="D22" s="357">
        <f>прил.5!D18</f>
        <v>273.51100000000002</v>
      </c>
      <c r="E22" s="357">
        <f>прил.5!E18</f>
        <v>1760.99</v>
      </c>
      <c r="F22" s="358">
        <v>0</v>
      </c>
      <c r="G22" s="359">
        <f>прил.5!G18-прил.5!I18</f>
        <v>0</v>
      </c>
    </row>
    <row r="23" spans="2:83" s="349" customFormat="1" hidden="1">
      <c r="B23" s="355" t="str">
        <f>прил.5!B19</f>
        <v xml:space="preserve">электрическая энергия </v>
      </c>
      <c r="C23" s="356" t="s">
        <v>228</v>
      </c>
      <c r="D23" s="357">
        <f>прил.5!D19</f>
        <v>0</v>
      </c>
      <c r="E23" s="357">
        <f>прил.5!E19</f>
        <v>0</v>
      </c>
      <c r="F23" s="358">
        <v>0</v>
      </c>
      <c r="G23" s="359">
        <f>прил.5!G19-прил.5!I19</f>
        <v>0</v>
      </c>
    </row>
    <row r="24" spans="2:83" s="349" customFormat="1" hidden="1">
      <c r="B24" s="355" t="str">
        <f>прил.5!B20</f>
        <v xml:space="preserve">электрическая энергия </v>
      </c>
      <c r="C24" s="356" t="s">
        <v>228</v>
      </c>
      <c r="D24" s="357">
        <f>прил.5!D20</f>
        <v>0</v>
      </c>
      <c r="E24" s="357">
        <f>прил.5!E20</f>
        <v>0</v>
      </c>
      <c r="F24" s="358">
        <v>0</v>
      </c>
      <c r="G24" s="359">
        <f>прил.5!G20-прил.5!I20</f>
        <v>0</v>
      </c>
    </row>
    <row r="25" spans="2:83" s="349" customFormat="1" hidden="1">
      <c r="B25" s="355" t="e">
        <f>прил.5!#REF!</f>
        <v>#REF!</v>
      </c>
      <c r="C25" s="356" t="s">
        <v>228</v>
      </c>
      <c r="D25" s="357" t="e">
        <f>прил.5!#REF!</f>
        <v>#REF!</v>
      </c>
      <c r="E25" s="357" t="e">
        <f>прил.5!#REF!</f>
        <v>#REF!</v>
      </c>
      <c r="F25" s="358">
        <v>0.1</v>
      </c>
      <c r="G25" s="359" t="e">
        <f>прил.5!#REF!-прил.5!#REF!</f>
        <v>#REF!</v>
      </c>
    </row>
    <row r="26" spans="2:83" s="349" customFormat="1" hidden="1">
      <c r="B26" s="355" t="e">
        <f>прил.5!#REF!</f>
        <v>#REF!</v>
      </c>
      <c r="C26" s="356" t="s">
        <v>228</v>
      </c>
      <c r="D26" s="357" t="e">
        <f>прил.5!#REF!</f>
        <v>#REF!</v>
      </c>
      <c r="E26" s="357" t="e">
        <f>прил.5!#REF!</f>
        <v>#REF!</v>
      </c>
      <c r="F26" s="358">
        <v>0.1</v>
      </c>
      <c r="G26" s="359" t="e">
        <f>прил.5!#REF!-прил.5!#REF!</f>
        <v>#REF!</v>
      </c>
    </row>
    <row r="27" spans="2:83" s="349" customFormat="1" hidden="1">
      <c r="B27" s="355" t="str">
        <f>прил.5!B21</f>
        <v xml:space="preserve">электрическая энергия </v>
      </c>
      <c r="C27" s="356" t="s">
        <v>228</v>
      </c>
      <c r="D27" s="357">
        <f>прил.5!D21</f>
        <v>177457.28</v>
      </c>
      <c r="E27" s="357">
        <f>прил.5!E21</f>
        <v>6.5</v>
      </c>
      <c r="F27" s="358">
        <v>0</v>
      </c>
      <c r="G27" s="359">
        <f>прил.5!G21-прил.5!I21</f>
        <v>0</v>
      </c>
    </row>
    <row r="32" spans="2:83" s="84" customFormat="1">
      <c r="B32" s="45" t="s">
        <v>275</v>
      </c>
      <c r="C32" s="150"/>
      <c r="D32" s="151"/>
      <c r="E32" s="91" t="s">
        <v>393</v>
      </c>
      <c r="F32" s="93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</row>
    <row r="33" spans="2:83" s="84" customFormat="1"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</row>
    <row r="34" spans="2:83" s="84" customFormat="1"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</row>
    <row r="35" spans="2:83" s="84" customFormat="1">
      <c r="B35" s="35" t="s">
        <v>239</v>
      </c>
      <c r="C35" s="150"/>
      <c r="D35" s="150"/>
      <c r="E35" s="84" t="s">
        <v>394</v>
      </c>
      <c r="F35" s="93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</row>
    <row r="36" spans="2:83" s="84" customFormat="1"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</row>
  </sheetData>
  <mergeCells count="3">
    <mergeCell ref="F1:G1"/>
    <mergeCell ref="B2:E2"/>
    <mergeCell ref="B16:G1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мун.зад.</vt:lpstr>
      <vt:lpstr>проверка 2019</vt:lpstr>
      <vt:lpstr>проверка 2020 </vt:lpstr>
      <vt:lpstr>проверка2021</vt:lpstr>
      <vt:lpstr>прил.1+2</vt:lpstr>
      <vt:lpstr>прил.3</vt:lpstr>
      <vt:lpstr>прил.4</vt:lpstr>
      <vt:lpstr>прил.5</vt:lpstr>
      <vt:lpstr>прил.6</vt:lpstr>
      <vt:lpstr>свод </vt:lpstr>
      <vt:lpstr>'свод '!Заголовки_для_печати</vt:lpstr>
      <vt:lpstr>мун.зад.!Область_печати</vt:lpstr>
      <vt:lpstr>'прил.1+2'!Область_печати</vt:lpstr>
      <vt:lpstr>прил.3!Область_печати</vt:lpstr>
      <vt:lpstr>прил.5!Область_печати</vt:lpstr>
      <vt:lpstr>прил.6!Область_печати</vt:lpstr>
      <vt:lpstr>'свод '!Область_печати</vt:lpstr>
    </vt:vector>
  </TitlesOfParts>
  <Company>Управление образования города Пензы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smetanina</dc:creator>
  <cp:lastModifiedBy>USER</cp:lastModifiedBy>
  <cp:lastPrinted>2019-02-03T18:48:07Z</cp:lastPrinted>
  <dcterms:created xsi:type="dcterms:W3CDTF">2015-12-22T12:42:46Z</dcterms:created>
  <dcterms:modified xsi:type="dcterms:W3CDTF">2019-02-03T18:48:19Z</dcterms:modified>
</cp:coreProperties>
</file>